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UBA PLANI_jaunie 2021-2027 darba materiali\PASAKUMI\PASAKUMU_PLANOSANA_2022-2027_PLANIEM\VARAM_Investiciju_plani\"/>
    </mc:Choice>
  </mc:AlternateContent>
  <xr:revisionPtr revIDLastSave="0" documentId="8_{D4561610-2DF6-40B1-9BE0-FD990EBA0C41}" xr6:coauthVersionLast="45" xr6:coauthVersionMax="45" xr10:uidLastSave="{00000000-0000-0000-0000-000000000000}"/>
  <bookViews>
    <workbookView xWindow="-120" yWindow="-120" windowWidth="29040" windowHeight="15840"/>
  </bookViews>
  <sheets>
    <sheet name="1_P" sheetId="1" r:id="rId1"/>
    <sheet name="2_P" sheetId="2" r:id="rId2"/>
  </sheets>
  <calcPr calcId="191029"/>
</workbook>
</file>

<file path=xl/calcChain.xml><?xml version="1.0" encoding="utf-8"?>
<calcChain xmlns="http://schemas.openxmlformats.org/spreadsheetml/2006/main">
  <c r="H97" i="1" l="1"/>
  <c r="H96" i="1"/>
  <c r="H95" i="1"/>
  <c r="H94" i="1"/>
  <c r="H93" i="1"/>
  <c r="H90" i="1"/>
  <c r="H89" i="1"/>
  <c r="H88" i="1"/>
  <c r="H87" i="1"/>
  <c r="H86" i="1"/>
  <c r="H85" i="1"/>
  <c r="H84" i="1"/>
  <c r="H83" i="1"/>
  <c r="H82" i="1"/>
  <c r="H81" i="1"/>
  <c r="H80" i="1"/>
  <c r="H79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5" i="1"/>
  <c r="H44" i="1"/>
  <c r="H43" i="1"/>
  <c r="H42" i="1"/>
  <c r="H41" i="1"/>
  <c r="H40" i="1"/>
  <c r="H39" i="1"/>
  <c r="H38" i="1"/>
  <c r="H37" i="1"/>
  <c r="H36" i="1"/>
  <c r="H35" i="1"/>
  <c r="H32" i="1"/>
  <c r="H19" i="1"/>
  <c r="H18" i="1"/>
  <c r="H15" i="1"/>
  <c r="H8" i="1"/>
  <c r="H7" i="1"/>
  <c r="AI98" i="2"/>
  <c r="AC98" i="2"/>
  <c r="AB98" i="2"/>
  <c r="X98" i="2"/>
  <c r="V98" i="2"/>
  <c r="T98" i="2"/>
  <c r="AG97" i="2"/>
  <c r="AF97" i="2"/>
  <c r="AD97" i="2"/>
  <c r="AC97" i="2"/>
  <c r="AA97" i="2"/>
  <c r="Y97" i="2"/>
  <c r="U97" i="2"/>
  <c r="S97" i="2"/>
  <c r="AJ97" i="2" s="1"/>
  <c r="J97" i="2"/>
  <c r="H97" i="2"/>
  <c r="G97" i="2"/>
  <c r="AG96" i="2"/>
  <c r="AD96" i="2"/>
  <c r="AC96" i="2"/>
  <c r="AA96" i="2"/>
  <c r="AJ96" i="2" s="1"/>
  <c r="Y96" i="2"/>
  <c r="U96" i="2"/>
  <c r="S96" i="2"/>
  <c r="J96" i="2"/>
  <c r="H96" i="2"/>
  <c r="G96" i="2"/>
  <c r="AG95" i="2"/>
  <c r="AF95" i="2"/>
  <c r="AD95" i="2"/>
  <c r="AA95" i="2"/>
  <c r="AC95" i="2" s="1"/>
  <c r="Y95" i="2"/>
  <c r="S95" i="2"/>
  <c r="AJ95" i="2" s="1"/>
  <c r="J95" i="2"/>
  <c r="H95" i="2"/>
  <c r="G95" i="2"/>
  <c r="AG94" i="2"/>
  <c r="AD94" i="2"/>
  <c r="AA94" i="2"/>
  <c r="AC94" i="2" s="1"/>
  <c r="Y94" i="2"/>
  <c r="U94" i="2"/>
  <c r="S94" i="2"/>
  <c r="AJ94" i="2" s="1"/>
  <c r="J94" i="2"/>
  <c r="H94" i="2"/>
  <c r="G94" i="2"/>
  <c r="AG93" i="2"/>
  <c r="AF93" i="2"/>
  <c r="AD93" i="2"/>
  <c r="AC93" i="2"/>
  <c r="AA93" i="2"/>
  <c r="Y93" i="2"/>
  <c r="S93" i="2"/>
  <c r="U93" i="2" s="1"/>
  <c r="J93" i="2"/>
  <c r="H93" i="2"/>
  <c r="G93" i="2"/>
  <c r="AG91" i="2"/>
  <c r="AD91" i="2"/>
  <c r="AA91" i="2"/>
  <c r="AC91" i="2" s="1"/>
  <c r="Y91" i="2"/>
  <c r="U91" i="2"/>
  <c r="S91" i="2"/>
  <c r="AJ91" i="2" s="1"/>
  <c r="J91" i="2"/>
  <c r="H91" i="2"/>
  <c r="G91" i="2"/>
  <c r="AG90" i="2"/>
  <c r="AD90" i="2"/>
  <c r="AC90" i="2"/>
  <c r="AA90" i="2"/>
  <c r="Y90" i="2"/>
  <c r="S90" i="2"/>
  <c r="AJ90" i="2" s="1"/>
  <c r="J90" i="2"/>
  <c r="H90" i="2"/>
  <c r="G90" i="2"/>
  <c r="AG89" i="2"/>
  <c r="AD89" i="2"/>
  <c r="AA89" i="2"/>
  <c r="AC89" i="2" s="1"/>
  <c r="Y89" i="2"/>
  <c r="S89" i="2"/>
  <c r="U89" i="2" s="1"/>
  <c r="L89" i="2"/>
  <c r="J89" i="2"/>
  <c r="H89" i="2"/>
  <c r="G89" i="2"/>
  <c r="AG88" i="2"/>
  <c r="AD88" i="2"/>
  <c r="AC88" i="2"/>
  <c r="AA88" i="2"/>
  <c r="AJ88" i="2" s="1"/>
  <c r="Y88" i="2"/>
  <c r="U88" i="2"/>
  <c r="S88" i="2"/>
  <c r="J88" i="2"/>
  <c r="H88" i="2"/>
  <c r="G88" i="2"/>
  <c r="AG87" i="2"/>
  <c r="AF87" i="2"/>
  <c r="AD87" i="2"/>
  <c r="AA87" i="2"/>
  <c r="AC87" i="2" s="1"/>
  <c r="Y87" i="2"/>
  <c r="S87" i="2"/>
  <c r="AJ87" i="2" s="1"/>
  <c r="J87" i="2"/>
  <c r="H87" i="2"/>
  <c r="G87" i="2"/>
  <c r="AG86" i="2"/>
  <c r="AD86" i="2"/>
  <c r="AA86" i="2"/>
  <c r="AC86" i="2" s="1"/>
  <c r="Y86" i="2"/>
  <c r="U86" i="2"/>
  <c r="S86" i="2"/>
  <c r="AJ86" i="2" s="1"/>
  <c r="J86" i="2"/>
  <c r="H86" i="2"/>
  <c r="G86" i="2"/>
  <c r="AG85" i="2"/>
  <c r="AF85" i="2"/>
  <c r="AD85" i="2"/>
  <c r="AC85" i="2"/>
  <c r="AA85" i="2"/>
  <c r="Y85" i="2"/>
  <c r="S85" i="2"/>
  <c r="AJ85" i="2" s="1"/>
  <c r="J85" i="2"/>
  <c r="H85" i="2"/>
  <c r="G85" i="2"/>
  <c r="AF84" i="2"/>
  <c r="AG84" i="2" s="1"/>
  <c r="AD84" i="2"/>
  <c r="AA84" i="2"/>
  <c r="AC84" i="2" s="1"/>
  <c r="Y84" i="2"/>
  <c r="U84" i="2"/>
  <c r="S84" i="2"/>
  <c r="AJ84" i="2" s="1"/>
  <c r="J84" i="2"/>
  <c r="H84" i="2"/>
  <c r="G84" i="2"/>
  <c r="AJ83" i="2"/>
  <c r="AG83" i="2"/>
  <c r="AD83" i="2"/>
  <c r="AC83" i="2"/>
  <c r="AA83" i="2"/>
  <c r="Y83" i="2"/>
  <c r="U83" i="2"/>
  <c r="S83" i="2"/>
  <c r="J83" i="2"/>
  <c r="H83" i="2"/>
  <c r="G83" i="2"/>
  <c r="AG82" i="2"/>
  <c r="AF82" i="2"/>
  <c r="AD82" i="2"/>
  <c r="AA82" i="2"/>
  <c r="AC82" i="2" s="1"/>
  <c r="Y82" i="2"/>
  <c r="U82" i="2"/>
  <c r="S82" i="2"/>
  <c r="AJ82" i="2" s="1"/>
  <c r="L82" i="2"/>
  <c r="J82" i="2"/>
  <c r="H82" i="2"/>
  <c r="G82" i="2"/>
  <c r="AG81" i="2"/>
  <c r="AF81" i="2"/>
  <c r="AD81" i="2"/>
  <c r="AC81" i="2"/>
  <c r="AA81" i="2"/>
  <c r="Y81" i="2"/>
  <c r="S81" i="2"/>
  <c r="AJ81" i="2" s="1"/>
  <c r="J81" i="2"/>
  <c r="H81" i="2"/>
  <c r="G81" i="2"/>
  <c r="AF80" i="2"/>
  <c r="AG80" i="2" s="1"/>
  <c r="AD80" i="2"/>
  <c r="AA80" i="2"/>
  <c r="AC80" i="2" s="1"/>
  <c r="Y80" i="2"/>
  <c r="U80" i="2"/>
  <c r="S80" i="2"/>
  <c r="AJ80" i="2" s="1"/>
  <c r="L80" i="2"/>
  <c r="J80" i="2"/>
  <c r="H80" i="2"/>
  <c r="G80" i="2"/>
  <c r="AG79" i="2"/>
  <c r="AF79" i="2"/>
  <c r="AD79" i="2"/>
  <c r="AA79" i="2"/>
  <c r="AC79" i="2" s="1"/>
  <c r="Y79" i="2"/>
  <c r="S79" i="2"/>
  <c r="AJ79" i="2" s="1"/>
  <c r="J79" i="2"/>
  <c r="H79" i="2"/>
  <c r="G79" i="2"/>
  <c r="AG76" i="2"/>
  <c r="AF76" i="2"/>
  <c r="AD76" i="2"/>
  <c r="AC76" i="2"/>
  <c r="AA76" i="2"/>
  <c r="AJ76" i="2" s="1"/>
  <c r="Y76" i="2"/>
  <c r="U76" i="2"/>
  <c r="S76" i="2"/>
  <c r="M76" i="2"/>
  <c r="L76" i="2"/>
  <c r="J76" i="2"/>
  <c r="H76" i="2"/>
  <c r="G76" i="2"/>
  <c r="AG75" i="2"/>
  <c r="AD75" i="2"/>
  <c r="AC75" i="2"/>
  <c r="AA75" i="2"/>
  <c r="Y75" i="2"/>
  <c r="U75" i="2"/>
  <c r="S75" i="2"/>
  <c r="AJ75" i="2" s="1"/>
  <c r="J75" i="2"/>
  <c r="H75" i="2"/>
  <c r="G75" i="2"/>
  <c r="AG74" i="2"/>
  <c r="AD74" i="2"/>
  <c r="AC74" i="2"/>
  <c r="AA74" i="2"/>
  <c r="AJ74" i="2" s="1"/>
  <c r="Y74" i="2"/>
  <c r="U74" i="2"/>
  <c r="S74" i="2"/>
  <c r="J74" i="2"/>
  <c r="H74" i="2"/>
  <c r="G74" i="2"/>
  <c r="AJ73" i="2"/>
  <c r="AG73" i="2"/>
  <c r="AD73" i="2"/>
  <c r="AC73" i="2"/>
  <c r="AA73" i="2"/>
  <c r="Y73" i="2"/>
  <c r="S73" i="2"/>
  <c r="U73" i="2" s="1"/>
  <c r="J73" i="2"/>
  <c r="H73" i="2"/>
  <c r="G73" i="2"/>
  <c r="AG72" i="2"/>
  <c r="AD72" i="2"/>
  <c r="AA72" i="2"/>
  <c r="AC72" i="2" s="1"/>
  <c r="Y72" i="2"/>
  <c r="U72" i="2"/>
  <c r="S72" i="2"/>
  <c r="AJ72" i="2" s="1"/>
  <c r="J72" i="2"/>
  <c r="H72" i="2"/>
  <c r="G72" i="2"/>
  <c r="AF71" i="2"/>
  <c r="AG71" i="2" s="1"/>
  <c r="AD71" i="2"/>
  <c r="AC71" i="2"/>
  <c r="AA71" i="2"/>
  <c r="Y71" i="2"/>
  <c r="U71" i="2"/>
  <c r="S71" i="2"/>
  <c r="AJ71" i="2" s="1"/>
  <c r="J71" i="2"/>
  <c r="H71" i="2"/>
  <c r="G71" i="2"/>
  <c r="AG70" i="2"/>
  <c r="AD70" i="2"/>
  <c r="AC70" i="2"/>
  <c r="AA70" i="2"/>
  <c r="Y70" i="2"/>
  <c r="U70" i="2"/>
  <c r="S70" i="2"/>
  <c r="AJ70" i="2" s="1"/>
  <c r="J70" i="2"/>
  <c r="H70" i="2"/>
  <c r="G70" i="2"/>
  <c r="AG69" i="2"/>
  <c r="AD69" i="2"/>
  <c r="AC69" i="2"/>
  <c r="AA69" i="2"/>
  <c r="AJ69" i="2" s="1"/>
  <c r="Y69" i="2"/>
  <c r="U69" i="2"/>
  <c r="S69" i="2"/>
  <c r="L69" i="2"/>
  <c r="J69" i="2"/>
  <c r="H69" i="2"/>
  <c r="G69" i="2"/>
  <c r="AG68" i="2"/>
  <c r="AD68" i="2"/>
  <c r="AA68" i="2"/>
  <c r="AC68" i="2" s="1"/>
  <c r="Y68" i="2"/>
  <c r="S68" i="2"/>
  <c r="AJ68" i="2" s="1"/>
  <c r="J68" i="2"/>
  <c r="H68" i="2"/>
  <c r="G68" i="2"/>
  <c r="AG67" i="2"/>
  <c r="AD67" i="2"/>
  <c r="AA67" i="2"/>
  <c r="AC67" i="2" s="1"/>
  <c r="Y67" i="2"/>
  <c r="U67" i="2"/>
  <c r="S67" i="2"/>
  <c r="AJ67" i="2" s="1"/>
  <c r="J67" i="2"/>
  <c r="H67" i="2"/>
  <c r="G67" i="2"/>
  <c r="AJ66" i="2"/>
  <c r="AG66" i="2"/>
  <c r="AD66" i="2"/>
  <c r="AC66" i="2"/>
  <c r="AA66" i="2"/>
  <c r="Y66" i="2"/>
  <c r="U66" i="2"/>
  <c r="S66" i="2"/>
  <c r="J66" i="2"/>
  <c r="H66" i="2"/>
  <c r="G66" i="2"/>
  <c r="AG65" i="2"/>
  <c r="AD65" i="2"/>
  <c r="AC65" i="2"/>
  <c r="AA65" i="2"/>
  <c r="Y65" i="2"/>
  <c r="U65" i="2"/>
  <c r="S65" i="2"/>
  <c r="AJ65" i="2" s="1"/>
  <c r="J65" i="2"/>
  <c r="H65" i="2"/>
  <c r="G65" i="2"/>
  <c r="AG64" i="2"/>
  <c r="AD64" i="2"/>
  <c r="AC64" i="2"/>
  <c r="AA64" i="2"/>
  <c r="AJ64" i="2" s="1"/>
  <c r="Y64" i="2"/>
  <c r="U64" i="2"/>
  <c r="S64" i="2"/>
  <c r="J64" i="2"/>
  <c r="H64" i="2"/>
  <c r="G64" i="2"/>
  <c r="AG63" i="2"/>
  <c r="AF63" i="2"/>
  <c r="AD63" i="2"/>
  <c r="AA63" i="2"/>
  <c r="AC63" i="2" s="1"/>
  <c r="Y63" i="2"/>
  <c r="S63" i="2"/>
  <c r="S98" i="2" s="1"/>
  <c r="J63" i="2"/>
  <c r="H63" i="2"/>
  <c r="G63" i="2"/>
  <c r="AG62" i="2"/>
  <c r="AF62" i="2"/>
  <c r="AD62" i="2"/>
  <c r="AC62" i="2"/>
  <c r="AA62" i="2"/>
  <c r="Y62" i="2"/>
  <c r="U62" i="2"/>
  <c r="S62" i="2"/>
  <c r="AJ62" i="2" s="1"/>
  <c r="J62" i="2"/>
  <c r="H62" i="2"/>
  <c r="G62" i="2"/>
  <c r="AJ61" i="2"/>
  <c r="AG61" i="2"/>
  <c r="AD61" i="2"/>
  <c r="AC61" i="2"/>
  <c r="AA61" i="2"/>
  <c r="Y61" i="2"/>
  <c r="S61" i="2"/>
  <c r="U61" i="2" s="1"/>
  <c r="M61" i="2"/>
  <c r="J61" i="2"/>
  <c r="H61" i="2"/>
  <c r="G61" i="2"/>
  <c r="AG60" i="2"/>
  <c r="AD60" i="2"/>
  <c r="AA60" i="2"/>
  <c r="AC60" i="2" s="1"/>
  <c r="Y60" i="2"/>
  <c r="U60" i="2"/>
  <c r="S60" i="2"/>
  <c r="AJ60" i="2" s="1"/>
  <c r="J60" i="2"/>
  <c r="H60" i="2"/>
  <c r="G60" i="2"/>
  <c r="AJ59" i="2"/>
  <c r="AG59" i="2"/>
  <c r="AD59" i="2"/>
  <c r="AC59" i="2"/>
  <c r="AA59" i="2"/>
  <c r="Y59" i="2"/>
  <c r="U59" i="2"/>
  <c r="S59" i="2"/>
  <c r="J59" i="2"/>
  <c r="H59" i="2"/>
  <c r="G59" i="2"/>
  <c r="AG58" i="2"/>
  <c r="AF58" i="2"/>
  <c r="AD58" i="2"/>
  <c r="AA58" i="2"/>
  <c r="AC58" i="2" s="1"/>
  <c r="Y58" i="2"/>
  <c r="U58" i="2"/>
  <c r="S58" i="2"/>
  <c r="AJ58" i="2" s="1"/>
  <c r="J58" i="2"/>
  <c r="H58" i="2"/>
  <c r="G58" i="2"/>
  <c r="AF57" i="2"/>
  <c r="AG57" i="2" s="1"/>
  <c r="AD57" i="2"/>
  <c r="AC57" i="2"/>
  <c r="AA57" i="2"/>
  <c r="Y57" i="2"/>
  <c r="U57" i="2"/>
  <c r="S57" i="2"/>
  <c r="AJ57" i="2" s="1"/>
  <c r="J57" i="2"/>
  <c r="H57" i="2"/>
  <c r="G57" i="2"/>
  <c r="AG56" i="2"/>
  <c r="AF56" i="2"/>
  <c r="AD56" i="2"/>
  <c r="AA56" i="2"/>
  <c r="AC56" i="2" s="1"/>
  <c r="Y56" i="2"/>
  <c r="U56" i="2"/>
  <c r="S56" i="2"/>
  <c r="AJ56" i="2" s="1"/>
  <c r="J56" i="2"/>
  <c r="H56" i="2"/>
  <c r="G56" i="2"/>
  <c r="AF55" i="2"/>
  <c r="AG55" i="2" s="1"/>
  <c r="AD55" i="2"/>
  <c r="AC55" i="2"/>
  <c r="AA55" i="2"/>
  <c r="Y55" i="2"/>
  <c r="U55" i="2"/>
  <c r="S55" i="2"/>
  <c r="AJ55" i="2" s="1"/>
  <c r="J55" i="2"/>
  <c r="H55" i="2"/>
  <c r="G55" i="2"/>
  <c r="AG54" i="2"/>
  <c r="AD54" i="2"/>
  <c r="AC54" i="2"/>
  <c r="AA54" i="2"/>
  <c r="Y54" i="2"/>
  <c r="U54" i="2"/>
  <c r="S54" i="2"/>
  <c r="AJ54" i="2" s="1"/>
  <c r="J54" i="2"/>
  <c r="H54" i="2"/>
  <c r="G54" i="2"/>
  <c r="AG53" i="2"/>
  <c r="AD53" i="2"/>
  <c r="AC53" i="2"/>
  <c r="AA53" i="2"/>
  <c r="AJ53" i="2" s="1"/>
  <c r="Y53" i="2"/>
  <c r="U53" i="2"/>
  <c r="S53" i="2"/>
  <c r="J53" i="2"/>
  <c r="H53" i="2"/>
  <c r="G53" i="2"/>
  <c r="AJ52" i="2"/>
  <c r="AG52" i="2"/>
  <c r="AD52" i="2"/>
  <c r="AC52" i="2"/>
  <c r="AA52" i="2"/>
  <c r="Y52" i="2"/>
  <c r="S52" i="2"/>
  <c r="U52" i="2" s="1"/>
  <c r="L52" i="2"/>
  <c r="J52" i="2"/>
  <c r="H52" i="2"/>
  <c r="G52" i="2"/>
  <c r="AG51" i="2"/>
  <c r="AD51" i="2"/>
  <c r="AA51" i="2"/>
  <c r="AC51" i="2" s="1"/>
  <c r="Y51" i="2"/>
  <c r="U51" i="2"/>
  <c r="S51" i="2"/>
  <c r="AJ51" i="2" s="1"/>
  <c r="O51" i="2"/>
  <c r="J51" i="2"/>
  <c r="H51" i="2"/>
  <c r="G51" i="2"/>
  <c r="AJ50" i="2"/>
  <c r="AG50" i="2"/>
  <c r="AD50" i="2"/>
  <c r="AC50" i="2"/>
  <c r="AA50" i="2"/>
  <c r="Y50" i="2"/>
  <c r="S50" i="2"/>
  <c r="U50" i="2" s="1"/>
  <c r="J50" i="2"/>
  <c r="H50" i="2"/>
  <c r="G50" i="2"/>
  <c r="AG49" i="2"/>
  <c r="AD49" i="2"/>
  <c r="AA49" i="2"/>
  <c r="AC49" i="2" s="1"/>
  <c r="Y49" i="2"/>
  <c r="U49" i="2"/>
  <c r="S49" i="2"/>
  <c r="AJ49" i="2" s="1"/>
  <c r="J49" i="2"/>
  <c r="H49" i="2"/>
  <c r="G49" i="2"/>
  <c r="AG48" i="2"/>
  <c r="AD48" i="2"/>
  <c r="AC48" i="2"/>
  <c r="AA48" i="2"/>
  <c r="AA98" i="2" s="1"/>
  <c r="Y48" i="2"/>
  <c r="S48" i="2"/>
  <c r="AJ48" i="2" s="1"/>
  <c r="J48" i="2"/>
  <c r="H48" i="2"/>
  <c r="G48" i="2"/>
  <c r="AJ47" i="2"/>
  <c r="AD47" i="2"/>
  <c r="AC47" i="2"/>
  <c r="Y47" i="2"/>
  <c r="U47" i="2"/>
  <c r="J47" i="2"/>
  <c r="H47" i="2"/>
  <c r="G47" i="2"/>
  <c r="AJ45" i="2"/>
  <c r="AG45" i="2"/>
  <c r="AD45" i="2"/>
  <c r="AC45" i="2"/>
  <c r="Y45" i="2"/>
  <c r="U45" i="2"/>
  <c r="J45" i="2"/>
  <c r="H45" i="2"/>
  <c r="G45" i="2"/>
  <c r="AJ44" i="2"/>
  <c r="AG44" i="2"/>
  <c r="AD44" i="2"/>
  <c r="AC44" i="2"/>
  <c r="Y44" i="2"/>
  <c r="U44" i="2"/>
  <c r="L44" i="2"/>
  <c r="J44" i="2"/>
  <c r="H44" i="2"/>
  <c r="G44" i="2"/>
  <c r="AJ43" i="2"/>
  <c r="AG43" i="2"/>
  <c r="AD43" i="2"/>
  <c r="AC43" i="2"/>
  <c r="Y43" i="2"/>
  <c r="U43" i="2"/>
  <c r="J43" i="2"/>
  <c r="H43" i="2"/>
  <c r="G43" i="2"/>
  <c r="AJ42" i="2"/>
  <c r="AG42" i="2"/>
  <c r="AD42" i="2"/>
  <c r="AC42" i="2"/>
  <c r="Y42" i="2"/>
  <c r="U42" i="2"/>
  <c r="J42" i="2"/>
  <c r="H42" i="2"/>
  <c r="G42" i="2"/>
  <c r="AJ41" i="2"/>
  <c r="AG41" i="2"/>
  <c r="AD41" i="2"/>
  <c r="AC41" i="2"/>
  <c r="Y41" i="2"/>
  <c r="U41" i="2"/>
  <c r="L41" i="2"/>
  <c r="J41" i="2"/>
  <c r="H41" i="2"/>
  <c r="G41" i="2"/>
  <c r="AJ40" i="2"/>
  <c r="AG40" i="2"/>
  <c r="AD40" i="2"/>
  <c r="AC40" i="2"/>
  <c r="Y40" i="2"/>
  <c r="U40" i="2"/>
  <c r="P40" i="2"/>
  <c r="J40" i="2"/>
  <c r="H40" i="2"/>
  <c r="G40" i="2"/>
  <c r="AJ39" i="2"/>
  <c r="AG39" i="2"/>
  <c r="AD39" i="2"/>
  <c r="AC39" i="2"/>
  <c r="Y39" i="2"/>
  <c r="U39" i="2"/>
  <c r="J39" i="2"/>
  <c r="H39" i="2"/>
  <c r="G39" i="2"/>
  <c r="AJ38" i="2"/>
  <c r="AG38" i="2"/>
  <c r="AD38" i="2"/>
  <c r="AC38" i="2"/>
  <c r="Y38" i="2"/>
  <c r="U38" i="2"/>
  <c r="J38" i="2"/>
  <c r="H38" i="2"/>
  <c r="G38" i="2"/>
  <c r="AJ37" i="2"/>
  <c r="AG37" i="2"/>
  <c r="AD37" i="2"/>
  <c r="AC37" i="2"/>
  <c r="Y37" i="2"/>
  <c r="U37" i="2"/>
  <c r="J37" i="2"/>
  <c r="H37" i="2"/>
  <c r="G37" i="2"/>
  <c r="AJ36" i="2"/>
  <c r="AG36" i="2"/>
  <c r="AD36" i="2"/>
  <c r="AC36" i="2"/>
  <c r="Y36" i="2"/>
  <c r="U36" i="2"/>
  <c r="J36" i="2"/>
  <c r="H36" i="2"/>
  <c r="G36" i="2"/>
  <c r="AJ35" i="2"/>
  <c r="AG35" i="2"/>
  <c r="AD35" i="2"/>
  <c r="AC35" i="2"/>
  <c r="Y35" i="2"/>
  <c r="U35" i="2"/>
  <c r="J35" i="2"/>
  <c r="H35" i="2"/>
  <c r="G35" i="2"/>
  <c r="AJ33" i="2"/>
  <c r="AG33" i="2"/>
  <c r="AD33" i="2"/>
  <c r="AC33" i="2"/>
  <c r="Y33" i="2"/>
  <c r="U33" i="2"/>
  <c r="J33" i="2"/>
  <c r="H33" i="2"/>
  <c r="G33" i="2"/>
  <c r="AJ32" i="2"/>
  <c r="AG32" i="2"/>
  <c r="AD32" i="2"/>
  <c r="AC32" i="2"/>
  <c r="Y32" i="2"/>
  <c r="U32" i="2"/>
  <c r="J32" i="2"/>
  <c r="H32" i="2"/>
  <c r="G32" i="2"/>
  <c r="AJ31" i="2"/>
  <c r="AG31" i="2"/>
  <c r="AD31" i="2"/>
  <c r="AC31" i="2"/>
  <c r="Y31" i="2"/>
  <c r="U31" i="2"/>
  <c r="J31" i="2"/>
  <c r="H31" i="2"/>
  <c r="G31" i="2"/>
  <c r="AJ29" i="2"/>
  <c r="AG29" i="2"/>
  <c r="AD29" i="2"/>
  <c r="AC29" i="2"/>
  <c r="Y29" i="2"/>
  <c r="U29" i="2"/>
  <c r="J29" i="2"/>
  <c r="H29" i="2"/>
  <c r="G29" i="2"/>
  <c r="AJ28" i="2"/>
  <c r="AG28" i="2"/>
  <c r="AD28" i="2"/>
  <c r="AC28" i="2"/>
  <c r="Y28" i="2"/>
  <c r="U28" i="2"/>
  <c r="J28" i="2"/>
  <c r="H28" i="2"/>
  <c r="G28" i="2"/>
  <c r="AJ27" i="2"/>
  <c r="AG27" i="2"/>
  <c r="AD27" i="2"/>
  <c r="AC27" i="2"/>
  <c r="Y27" i="2"/>
  <c r="U27" i="2"/>
  <c r="J27" i="2"/>
  <c r="H27" i="2"/>
  <c r="G27" i="2"/>
  <c r="AJ25" i="2"/>
  <c r="AG25" i="2"/>
  <c r="AD25" i="2"/>
  <c r="AC25" i="2"/>
  <c r="Y25" i="2"/>
  <c r="U25" i="2"/>
  <c r="J25" i="2"/>
  <c r="H25" i="2"/>
  <c r="G25" i="2"/>
  <c r="AJ23" i="2"/>
  <c r="AG23" i="2"/>
  <c r="AD23" i="2"/>
  <c r="AC23" i="2"/>
  <c r="Y23" i="2"/>
  <c r="U23" i="2"/>
  <c r="J23" i="2"/>
  <c r="H23" i="2"/>
  <c r="G23" i="2"/>
  <c r="AJ20" i="2"/>
  <c r="AG20" i="2"/>
  <c r="AD20" i="2"/>
  <c r="AC20" i="2"/>
  <c r="Y20" i="2"/>
  <c r="U20" i="2"/>
  <c r="J20" i="2"/>
  <c r="H20" i="2"/>
  <c r="G20" i="2"/>
  <c r="AJ19" i="2"/>
  <c r="AG19" i="2"/>
  <c r="AD19" i="2"/>
  <c r="AC19" i="2"/>
  <c r="Y19" i="2"/>
  <c r="U19" i="2"/>
  <c r="J19" i="2"/>
  <c r="H19" i="2"/>
  <c r="G19" i="2"/>
  <c r="AJ18" i="2"/>
  <c r="AG18" i="2"/>
  <c r="AD18" i="2"/>
  <c r="AC18" i="2"/>
  <c r="Y18" i="2"/>
  <c r="U18" i="2"/>
  <c r="J18" i="2"/>
  <c r="H18" i="2"/>
  <c r="G18" i="2"/>
  <c r="AJ16" i="2"/>
  <c r="AG16" i="2"/>
  <c r="AD16" i="2"/>
  <c r="AC16" i="2"/>
  <c r="Y16" i="2"/>
  <c r="U16" i="2"/>
  <c r="J16" i="2"/>
  <c r="H16" i="2"/>
  <c r="G16" i="2"/>
  <c r="AG15" i="2"/>
  <c r="AD15" i="2"/>
  <c r="AC15" i="2"/>
  <c r="Y15" i="2"/>
  <c r="U15" i="2"/>
  <c r="J15" i="2"/>
  <c r="H15" i="2"/>
  <c r="G15" i="2"/>
  <c r="AJ8" i="2"/>
  <c r="AG8" i="2"/>
  <c r="AD8" i="2"/>
  <c r="AC8" i="2"/>
  <c r="Y8" i="2"/>
  <c r="U8" i="2"/>
  <c r="P8" i="2"/>
  <c r="O8" i="2"/>
  <c r="J8" i="2"/>
  <c r="H8" i="2"/>
  <c r="G8" i="2"/>
  <c r="AJ7" i="2"/>
  <c r="AG7" i="2"/>
  <c r="AD7" i="2"/>
  <c r="AD98" i="2" s="1"/>
  <c r="AC7" i="2"/>
  <c r="Y7" i="2"/>
  <c r="Y98" i="2" s="1"/>
  <c r="U7" i="2"/>
  <c r="U98" i="2" s="1"/>
  <c r="J7" i="2"/>
  <c r="H7" i="2"/>
  <c r="G7" i="2"/>
  <c r="J97" i="1"/>
  <c r="G97" i="1"/>
  <c r="J96" i="1"/>
  <c r="G96" i="1"/>
  <c r="J95" i="1"/>
  <c r="G95" i="1"/>
  <c r="J94" i="1"/>
  <c r="G94" i="1"/>
  <c r="J93" i="1"/>
  <c r="G93" i="1"/>
  <c r="J91" i="1"/>
  <c r="H91" i="1"/>
  <c r="G91" i="1"/>
  <c r="J90" i="1"/>
  <c r="G90" i="1"/>
  <c r="L89" i="1"/>
  <c r="J89" i="1"/>
  <c r="G89" i="1"/>
  <c r="J88" i="1"/>
  <c r="G88" i="1"/>
  <c r="J87" i="1"/>
  <c r="G87" i="1"/>
  <c r="J86" i="1"/>
  <c r="G86" i="1"/>
  <c r="J85" i="1"/>
  <c r="G85" i="1"/>
  <c r="J84" i="1"/>
  <c r="G84" i="1"/>
  <c r="J83" i="1"/>
  <c r="G83" i="1"/>
  <c r="L82" i="1"/>
  <c r="J82" i="1"/>
  <c r="G82" i="1"/>
  <c r="J81" i="1"/>
  <c r="G81" i="1"/>
  <c r="L80" i="1"/>
  <c r="J80" i="1"/>
  <c r="G80" i="1"/>
  <c r="J79" i="1"/>
  <c r="G79" i="1"/>
  <c r="M76" i="1"/>
  <c r="L76" i="1"/>
  <c r="J76" i="1"/>
  <c r="H76" i="1"/>
  <c r="G76" i="1"/>
  <c r="J75" i="1"/>
  <c r="H75" i="1"/>
  <c r="G75" i="1"/>
  <c r="J74" i="1"/>
  <c r="G74" i="1"/>
  <c r="J73" i="1"/>
  <c r="G73" i="1"/>
  <c r="J72" i="1"/>
  <c r="G72" i="1"/>
  <c r="J71" i="1"/>
  <c r="G71" i="1"/>
  <c r="J70" i="1"/>
  <c r="G70" i="1"/>
  <c r="L69" i="1"/>
  <c r="J69" i="1"/>
  <c r="G69" i="1"/>
  <c r="J68" i="1"/>
  <c r="G68" i="1"/>
  <c r="J67" i="1"/>
  <c r="G67" i="1"/>
  <c r="J66" i="1"/>
  <c r="G66" i="1"/>
  <c r="J65" i="1"/>
  <c r="G65" i="1"/>
  <c r="J64" i="1"/>
  <c r="G64" i="1"/>
  <c r="J63" i="1"/>
  <c r="G63" i="1"/>
  <c r="J62" i="1"/>
  <c r="G62" i="1"/>
  <c r="M61" i="1"/>
  <c r="J61" i="1"/>
  <c r="G61" i="1"/>
  <c r="J60" i="1"/>
  <c r="G60" i="1"/>
  <c r="J59" i="1"/>
  <c r="G59" i="1"/>
  <c r="J58" i="1"/>
  <c r="G58" i="1"/>
  <c r="J57" i="1"/>
  <c r="G57" i="1"/>
  <c r="J56" i="1"/>
  <c r="G56" i="1"/>
  <c r="J55" i="1"/>
  <c r="G55" i="1"/>
  <c r="J54" i="1"/>
  <c r="G54" i="1"/>
  <c r="J53" i="1"/>
  <c r="G53" i="1"/>
  <c r="L52" i="1"/>
  <c r="J52" i="1"/>
  <c r="G52" i="1"/>
  <c r="O51" i="1"/>
  <c r="J51" i="1"/>
  <c r="G51" i="1"/>
  <c r="J50" i="1"/>
  <c r="G50" i="1"/>
  <c r="J49" i="1"/>
  <c r="G49" i="1"/>
  <c r="J48" i="1"/>
  <c r="G48" i="1"/>
  <c r="J47" i="1"/>
  <c r="G47" i="1"/>
  <c r="J45" i="1"/>
  <c r="G45" i="1"/>
  <c r="L44" i="1"/>
  <c r="J44" i="1"/>
  <c r="G44" i="1"/>
  <c r="J43" i="1"/>
  <c r="G43" i="1"/>
  <c r="J42" i="1"/>
  <c r="G42" i="1"/>
  <c r="L41" i="1"/>
  <c r="J41" i="1"/>
  <c r="G41" i="1"/>
  <c r="P40" i="1"/>
  <c r="J40" i="1"/>
  <c r="G40" i="1"/>
  <c r="J39" i="1"/>
  <c r="G39" i="1"/>
  <c r="J38" i="1"/>
  <c r="G38" i="1"/>
  <c r="J37" i="1"/>
  <c r="G37" i="1"/>
  <c r="J36" i="1"/>
  <c r="G36" i="1"/>
  <c r="J35" i="1"/>
  <c r="G35" i="1"/>
  <c r="J33" i="1"/>
  <c r="H33" i="1"/>
  <c r="G33" i="1"/>
  <c r="J32" i="1"/>
  <c r="G32" i="1"/>
  <c r="J31" i="1"/>
  <c r="H31" i="1"/>
  <c r="G31" i="1"/>
  <c r="J29" i="1"/>
  <c r="H29" i="1"/>
  <c r="G29" i="1"/>
  <c r="J28" i="1"/>
  <c r="H28" i="1"/>
  <c r="G28" i="1"/>
  <c r="J27" i="1"/>
  <c r="H27" i="1"/>
  <c r="G27" i="1"/>
  <c r="J25" i="1"/>
  <c r="H25" i="1"/>
  <c r="G25" i="1"/>
  <c r="J23" i="1"/>
  <c r="H23" i="1"/>
  <c r="G23" i="1"/>
  <c r="J20" i="1"/>
  <c r="H20" i="1"/>
  <c r="G20" i="1"/>
  <c r="J19" i="1"/>
  <c r="G19" i="1"/>
  <c r="J18" i="1"/>
  <c r="G18" i="1"/>
  <c r="J16" i="1"/>
  <c r="H16" i="1"/>
  <c r="G16" i="1"/>
  <c r="J15" i="1"/>
  <c r="G15" i="1"/>
  <c r="P8" i="1"/>
  <c r="O8" i="1"/>
  <c r="J8" i="1"/>
  <c r="G8" i="1"/>
  <c r="J7" i="1"/>
  <c r="G7" i="1"/>
  <c r="AG98" i="2" l="1"/>
  <c r="AJ63" i="2"/>
  <c r="AJ98" i="2" s="1"/>
  <c r="U63" i="2"/>
  <c r="U68" i="2"/>
  <c r="U79" i="2"/>
  <c r="U87" i="2"/>
  <c r="U48" i="2"/>
  <c r="U90" i="2"/>
  <c r="AJ93" i="2"/>
  <c r="AJ89" i="2"/>
  <c r="U95" i="2"/>
  <c r="U81" i="2"/>
  <c r="U85" i="2"/>
  <c r="AF98" i="2"/>
</calcChain>
</file>

<file path=xl/comments1.xml><?xml version="1.0" encoding="utf-8"?>
<comments xmlns="http://schemas.openxmlformats.org/spreadsheetml/2006/main">
  <authors>
    <author>Valdis Līkosts</author>
  </authors>
  <commentList>
    <comment ref="T4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sacilpot</t>
        </r>
      </text>
    </comment>
    <comment ref="T4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nav info par cilcēkiem anketa, ielikts, lai sasniegtu 100%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otra magistrāle, lai sacilpotu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nav cilvēku, ielikts līdz 100%</t>
        </r>
      </text>
    </comment>
    <comment ref="T8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nav iedz.skaits, bet rēķināts uz 100%</t>
        </r>
      </text>
    </comment>
    <comment ref="T84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savienojums sacilpošanai</t>
        </r>
      </text>
    </comment>
    <comment ref="T9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nav cilveki anketa</t>
        </r>
      </text>
    </comment>
  </commentList>
</comments>
</file>

<file path=xl/sharedStrings.xml><?xml version="1.0" encoding="utf-8"?>
<sst xmlns="http://schemas.openxmlformats.org/spreadsheetml/2006/main" count="448" uniqueCount="215">
  <si>
    <t>1.pielikums</t>
  </si>
  <si>
    <t>Esošās CŪS pakalpojumu zonas raksturojums</t>
  </si>
  <si>
    <t>Nr.p.k.</t>
  </si>
  <si>
    <t>CŪS pakalpojumu  sniegšanas teritorijas nosaukums</t>
  </si>
  <si>
    <t>Iedzīvotāju skaits CŪS pakalpojumu zonā</t>
  </si>
  <si>
    <r>
      <rPr>
        <b/>
        <sz val="8"/>
        <color rgb="FF000000"/>
        <rFont val="Calibri"/>
        <family val="2"/>
        <charset val="186"/>
      </rPr>
      <t xml:space="preserve">Pakalpojuma pieejamība uz 2022.g. </t>
    </r>
    <r>
      <rPr>
        <sz val="8"/>
        <color rgb="FF000000"/>
        <rFont val="Calibri"/>
        <family val="2"/>
        <charset val="186"/>
      </rPr>
      <t>(iedz.skaits)</t>
    </r>
  </si>
  <si>
    <t>Pakalpojuma pieejamība (%)</t>
  </si>
  <si>
    <t>Pakalpojuma pieejamība (%) pēc papildus investīciju veikšanas</t>
  </si>
  <si>
    <t>CŪS faktisko lietotāju skaits (01.01.2019.)</t>
  </si>
  <si>
    <t>Faktisko lietotāju īpatsvars no CŪS pārklājuma (%)</t>
  </si>
  <si>
    <r>
      <rPr>
        <b/>
        <sz val="8"/>
        <color rgb="FF000000"/>
        <rFont val="Calibri"/>
        <family val="2"/>
        <charset val="186"/>
      </rPr>
      <t xml:space="preserve">Ūdens zudumu apjoms </t>
    </r>
    <r>
      <rPr>
        <sz val="8"/>
        <color rgb="FF000000"/>
        <rFont val="Calibri"/>
        <family val="2"/>
        <charset val="186"/>
      </rPr>
      <t>(%)</t>
    </r>
  </si>
  <si>
    <r>
      <rPr>
        <b/>
        <sz val="8"/>
        <color rgb="FF000000"/>
        <rFont val="Calibri"/>
        <family val="2"/>
        <charset val="186"/>
      </rPr>
      <t>Ūdens ieguves projektētā kopējā jauda</t>
    </r>
    <r>
      <rPr>
        <sz val="8"/>
        <color rgb="FF000000"/>
        <rFont val="Calibri"/>
        <family val="2"/>
        <charset val="186"/>
      </rPr>
      <t xml:space="preserve"> (m3/dnn)</t>
    </r>
  </si>
  <si>
    <r>
      <rPr>
        <b/>
        <sz val="8"/>
        <color rgb="FF000000"/>
        <rFont val="Calibri"/>
        <family val="2"/>
        <charset val="186"/>
      </rPr>
      <t>Ūdens sagatavošanas projektētā kopējā jauda</t>
    </r>
    <r>
      <rPr>
        <sz val="8"/>
        <color rgb="FF000000"/>
        <rFont val="Calibri"/>
        <family val="2"/>
        <charset val="186"/>
      </rPr>
      <t xml:space="preserve"> (m3/dnn)</t>
    </r>
  </si>
  <si>
    <r>
      <rPr>
        <b/>
        <sz val="8"/>
        <color rgb="FF000000"/>
        <rFont val="Calibri"/>
        <family val="2"/>
        <charset val="186"/>
      </rPr>
      <t>Ūdens uzglabāšanas kopējā projektētā jauda</t>
    </r>
    <r>
      <rPr>
        <sz val="8"/>
        <color rgb="FF000000"/>
        <rFont val="Calibri"/>
        <family val="2"/>
        <charset val="186"/>
      </rPr>
      <t xml:space="preserve"> (m3/dnn)</t>
    </r>
  </si>
  <si>
    <r>
      <rPr>
        <b/>
        <sz val="8"/>
        <color rgb="FF000000"/>
        <rFont val="Calibri"/>
        <family val="2"/>
        <charset val="186"/>
      </rPr>
      <t>Faktiskais iegūtais ūdens apjoms</t>
    </r>
    <r>
      <rPr>
        <sz val="8"/>
        <color rgb="FF000000"/>
        <rFont val="Calibri"/>
        <family val="2"/>
        <charset val="186"/>
      </rPr>
      <t xml:space="preserve"> (m3/gadā)</t>
    </r>
  </si>
  <si>
    <r>
      <rPr>
        <b/>
        <sz val="8"/>
        <color rgb="FF000000"/>
        <rFont val="Calibri"/>
        <family val="2"/>
        <charset val="186"/>
      </rPr>
      <t>Faktiskais tīklā ievadītais ūdens apjoms (</t>
    </r>
    <r>
      <rPr>
        <sz val="8"/>
        <color rgb="FF000000"/>
        <rFont val="Calibri"/>
        <family val="2"/>
        <charset val="186"/>
      </rPr>
      <t>m3/gadā)</t>
    </r>
  </si>
  <si>
    <r>
      <rPr>
        <b/>
        <sz val="8"/>
        <color rgb="FF000000"/>
        <rFont val="Calibri"/>
        <family val="2"/>
        <charset val="186"/>
      </rPr>
      <t>Kopējais elektroenerģijas patēriņš (</t>
    </r>
    <r>
      <rPr>
        <sz val="8"/>
        <color rgb="FF000000"/>
        <rFont val="Calibri"/>
        <family val="2"/>
        <charset val="186"/>
      </rPr>
      <t>kWh/gadā)</t>
    </r>
  </si>
  <si>
    <t>CE&gt;100 000</t>
  </si>
  <si>
    <t>1.</t>
  </si>
  <si>
    <t>Daugavpils</t>
  </si>
  <si>
    <t xml:space="preserve">2. </t>
  </si>
  <si>
    <t>Rīga</t>
  </si>
  <si>
    <t>100 000&gt;CE&gt;10 000</t>
  </si>
  <si>
    <t>3.</t>
  </si>
  <si>
    <t>Bauska</t>
  </si>
  <si>
    <t>n/d</t>
  </si>
  <si>
    <t xml:space="preserve">4. </t>
  </si>
  <si>
    <t>Cēsis</t>
  </si>
  <si>
    <t xml:space="preserve">5. </t>
  </si>
  <si>
    <t>Dobele</t>
  </si>
  <si>
    <t>6.</t>
  </si>
  <si>
    <t>Gulbene</t>
  </si>
  <si>
    <t>7.</t>
  </si>
  <si>
    <t>Jelgava</t>
  </si>
  <si>
    <t>8.</t>
  </si>
  <si>
    <t>Jēkabpils</t>
  </si>
  <si>
    <t>9.</t>
  </si>
  <si>
    <t>Jūrmala</t>
  </si>
  <si>
    <t>10.</t>
  </si>
  <si>
    <t>Krāslava</t>
  </si>
  <si>
    <t>11.</t>
  </si>
  <si>
    <t>Kuldīga</t>
  </si>
  <si>
    <t>12.</t>
  </si>
  <si>
    <t>Ķekava-Valdlauči</t>
  </si>
  <si>
    <t>13.</t>
  </si>
  <si>
    <t>Liepāja</t>
  </si>
  <si>
    <t>14.</t>
  </si>
  <si>
    <t>Limbaži</t>
  </si>
  <si>
    <t>15.</t>
  </si>
  <si>
    <t>Madona</t>
  </si>
  <si>
    <t>16.</t>
  </si>
  <si>
    <t>Mārupe</t>
  </si>
  <si>
    <t>17.</t>
  </si>
  <si>
    <t>Ogre</t>
  </si>
  <si>
    <t>18.</t>
  </si>
  <si>
    <t>Olaine</t>
  </si>
  <si>
    <t>19.</t>
  </si>
  <si>
    <t>Rēzekne</t>
  </si>
  <si>
    <t>Salaspils</t>
  </si>
  <si>
    <t>Saldus</t>
  </si>
  <si>
    <t>Sigulda</t>
  </si>
  <si>
    <t>Talsi</t>
  </si>
  <si>
    <t>Tukums</t>
  </si>
  <si>
    <t>Valmiera</t>
  </si>
  <si>
    <t>Ventspils</t>
  </si>
  <si>
    <t>10 000&gt;CE&gt;2 000</t>
  </si>
  <si>
    <t>Aizkraukle</t>
  </si>
  <si>
    <t>Aizpute</t>
  </si>
  <si>
    <t>Alūksne</t>
  </si>
  <si>
    <t>Auce</t>
  </si>
  <si>
    <t>Ādaži</t>
  </si>
  <si>
    <t>Babīte</t>
  </si>
  <si>
    <t>Baloži</t>
  </si>
  <si>
    <t>Baltezers</t>
  </si>
  <si>
    <t>Balvi</t>
  </si>
  <si>
    <t>Brocēni</t>
  </si>
  <si>
    <t>Carnikava</t>
  </si>
  <si>
    <t>Dagda</t>
  </si>
  <si>
    <t>Dundaga</t>
  </si>
  <si>
    <t>Ērgļi</t>
  </si>
  <si>
    <t>Grobiņa</t>
  </si>
  <si>
    <t>Iecava</t>
  </si>
  <si>
    <t>Ikšķile</t>
  </si>
  <si>
    <t>Ilūkste</t>
  </si>
  <si>
    <t>Īslīce</t>
  </si>
  <si>
    <t>Jaunolaine</t>
  </si>
  <si>
    <t>Jaunpiebalga</t>
  </si>
  <si>
    <t>Kandava</t>
  </si>
  <si>
    <t>Kārsava</t>
  </si>
  <si>
    <t>Ķegums</t>
  </si>
  <si>
    <t>Lielvārde</t>
  </si>
  <si>
    <t>Liepa</t>
  </si>
  <si>
    <t>Līvāni</t>
  </si>
  <si>
    <t>Ludza</t>
  </si>
  <si>
    <t>Malta</t>
  </si>
  <si>
    <t>Mālpils</t>
  </si>
  <si>
    <t>Ozolnieki</t>
  </si>
  <si>
    <t>Pļaviņas</t>
  </si>
  <si>
    <t>Preiļi</t>
  </si>
  <si>
    <t>Priekule</t>
  </si>
  <si>
    <t>Priekuļi</t>
  </si>
  <si>
    <t>Roja</t>
  </si>
  <si>
    <t>Rūjiena</t>
  </si>
  <si>
    <t>Salacgrīva</t>
  </si>
  <si>
    <t>Saulkrasti</t>
  </si>
  <si>
    <t>Skrīveri</t>
  </si>
  <si>
    <t>Skrunda</t>
  </si>
  <si>
    <t>Smiltene</t>
  </si>
  <si>
    <t>Ulbroka</t>
  </si>
  <si>
    <t>Valka</t>
  </si>
  <si>
    <t>Vangaži</t>
  </si>
  <si>
    <t>Varakļāni</t>
  </si>
  <si>
    <t>Vecumnieki</t>
  </si>
  <si>
    <t>Viļāni</t>
  </si>
  <si>
    <t>2.pielikums</t>
  </si>
  <si>
    <t>Investīciju apkopojums CŪS jomā</t>
  </si>
  <si>
    <r>
      <rPr>
        <b/>
        <sz val="8"/>
        <color rgb="FF000000"/>
        <rFont val="Calibri"/>
        <family val="2"/>
        <charset val="186"/>
      </rPr>
      <t xml:space="preserve">Jauno tīklu apjoms, t.sk. atzari </t>
    </r>
    <r>
      <rPr>
        <b/>
        <sz val="8"/>
        <color rgb="FFC00000"/>
        <rFont val="Calibri"/>
        <family val="2"/>
        <charset val="186"/>
      </rPr>
      <t>esošā</t>
    </r>
    <r>
      <rPr>
        <b/>
        <sz val="8"/>
        <color rgb="FF000000"/>
        <rFont val="Calibri"/>
        <family val="2"/>
        <charset val="186"/>
      </rPr>
      <t xml:space="preserve"> CŪS pakalpojumu zonā </t>
    </r>
    <r>
      <rPr>
        <sz val="8"/>
        <color rgb="FF000000"/>
        <rFont val="Calibri"/>
        <family val="2"/>
        <charset val="186"/>
      </rPr>
      <t>(m)</t>
    </r>
  </si>
  <si>
    <r>
      <rPr>
        <b/>
        <sz val="8"/>
        <color rgb="FF000000"/>
        <rFont val="Calibri"/>
        <family val="2"/>
        <charset val="186"/>
      </rPr>
      <t xml:space="preserve">Jauno tīklu izbūves izmaksas, </t>
    </r>
    <r>
      <rPr>
        <sz val="8"/>
        <color rgb="FF000000"/>
        <rFont val="Calibri"/>
        <family val="2"/>
        <charset val="186"/>
      </rPr>
      <t>EUR</t>
    </r>
  </si>
  <si>
    <r>
      <rPr>
        <b/>
        <sz val="8"/>
        <color rgb="FF000000"/>
        <rFont val="Calibri"/>
        <family val="2"/>
        <charset val="186"/>
      </rPr>
      <t xml:space="preserve">Papildus pieslēdzamie lietotāji </t>
    </r>
    <r>
      <rPr>
        <b/>
        <sz val="8"/>
        <color rgb="FFC00000"/>
        <rFont val="Calibri"/>
        <family val="2"/>
        <charset val="186"/>
      </rPr>
      <t>esošās</t>
    </r>
    <r>
      <rPr>
        <b/>
        <sz val="8"/>
        <color rgb="FF000000"/>
        <rFont val="Calibri"/>
        <family val="2"/>
        <charset val="186"/>
      </rPr>
      <t xml:space="preserve"> CŪS zonas teritorijā </t>
    </r>
    <r>
      <rPr>
        <sz val="8"/>
        <color rgb="FF000000"/>
        <rFont val="Calibri"/>
        <family val="2"/>
        <charset val="186"/>
      </rPr>
      <t>(iedz.skaits)</t>
    </r>
  </si>
  <si>
    <t>Jauno tīklu izbūves izmaksas uz 1 papildus lietotāju (EUR/iedz.)</t>
  </si>
  <si>
    <t>Pamatoto investīciju apjoms uz  1 papildus lietotāju (EUR/iedz.)</t>
  </si>
  <si>
    <t>Citi no jauna izbūvējami CŪS infrastruktūras objekti</t>
  </si>
  <si>
    <r>
      <rPr>
        <b/>
        <sz val="8"/>
        <color rgb="FF000000"/>
        <rFont val="Calibri"/>
        <family val="2"/>
        <charset val="186"/>
      </rPr>
      <t>Jauno infrastrukūras objektu izmaksas</t>
    </r>
    <r>
      <rPr>
        <sz val="8"/>
        <color rgb="FF000000"/>
        <rFont val="Calibri"/>
        <family val="2"/>
        <charset val="186"/>
      </rPr>
      <t xml:space="preserve"> (EUR)</t>
    </r>
  </si>
  <si>
    <t>Jauno infrastruktūras objektu izmaksas uz 1 esošo CŪS lietotāju (EUR/iedz/)</t>
  </si>
  <si>
    <r>
      <t xml:space="preserve">Jauno tīklu apjoms, t.sk. atzari </t>
    </r>
    <r>
      <rPr>
        <b/>
        <sz val="8"/>
        <color rgb="FFC00000"/>
        <rFont val="Calibri"/>
        <family val="2"/>
        <charset val="186"/>
      </rPr>
      <t xml:space="preserve">ārpus esošās </t>
    </r>
    <r>
      <rPr>
        <b/>
        <sz val="8"/>
        <color rgb="FF000000"/>
        <rFont val="Calibri"/>
        <family val="2"/>
        <charset val="186"/>
      </rPr>
      <t xml:space="preserve">CŪS pakalpojumu zonas </t>
    </r>
    <r>
      <rPr>
        <sz val="8"/>
        <color rgb="FF000000"/>
        <rFont val="Calibri"/>
        <family val="2"/>
        <charset val="186"/>
      </rPr>
      <t>(m)</t>
    </r>
  </si>
  <si>
    <r>
      <rPr>
        <b/>
        <sz val="8"/>
        <color rgb="FF000000"/>
        <rFont val="Calibri"/>
        <family val="2"/>
        <charset val="186"/>
      </rPr>
      <t xml:space="preserve">Papildus pieslēdzamie lietotāji </t>
    </r>
    <r>
      <rPr>
        <b/>
        <sz val="8"/>
        <color rgb="FFC00000"/>
        <rFont val="Calibri"/>
        <family val="2"/>
        <charset val="186"/>
      </rPr>
      <t>ārpus</t>
    </r>
    <r>
      <rPr>
        <b/>
        <sz val="8"/>
        <color rgb="FF000000"/>
        <rFont val="Calibri"/>
        <family val="2"/>
        <charset val="186"/>
      </rPr>
      <t xml:space="preserve"> </t>
    </r>
    <r>
      <rPr>
        <b/>
        <sz val="8"/>
        <color rgb="FFC00000"/>
        <rFont val="Calibri"/>
        <family val="2"/>
        <charset val="186"/>
      </rPr>
      <t>esošās</t>
    </r>
    <r>
      <rPr>
        <b/>
        <sz val="8"/>
        <color rgb="FF000000"/>
        <rFont val="Calibri"/>
        <family val="2"/>
        <charset val="186"/>
      </rPr>
      <t xml:space="preserve"> CŪS zonas  </t>
    </r>
    <r>
      <rPr>
        <sz val="8"/>
        <color rgb="FF000000"/>
        <rFont val="Calibri"/>
        <family val="2"/>
        <charset val="186"/>
      </rPr>
      <t>(iedz.skaits)</t>
    </r>
  </si>
  <si>
    <r>
      <t xml:space="preserve">Rekonstruējamie CŪS objekti un CŪS tīklu apjomS </t>
    </r>
    <r>
      <rPr>
        <sz val="8"/>
        <color rgb="FF000000"/>
        <rFont val="Calibri"/>
        <family val="2"/>
        <charset val="186"/>
      </rPr>
      <t>(m)</t>
    </r>
  </si>
  <si>
    <r>
      <rPr>
        <b/>
        <sz val="8"/>
        <color rgb="FF000000"/>
        <rFont val="Calibri"/>
        <family val="2"/>
        <charset val="186"/>
      </rPr>
      <t>Rekonstrukcijas darbu izmaksas</t>
    </r>
    <r>
      <rPr>
        <sz val="8"/>
        <color rgb="FF000000"/>
        <rFont val="Calibri"/>
        <family val="2"/>
        <charset val="186"/>
      </rPr>
      <t xml:space="preserve"> (EUR)</t>
    </r>
  </si>
  <si>
    <t>Rekonstruējamo infrastruktūras objektu izmaksas uz 1 esošo CŪS lietotāju (EUR/iedz/)</t>
  </si>
  <si>
    <t>Energoefektivitātes projekti</t>
  </si>
  <si>
    <r>
      <rPr>
        <b/>
        <sz val="8"/>
        <color rgb="FF000000"/>
        <rFont val="Calibri"/>
        <family val="2"/>
        <charset val="186"/>
      </rPr>
      <t xml:space="preserve">Energoefektivitātes projektu izmaksas </t>
    </r>
    <r>
      <rPr>
        <sz val="8"/>
        <color rgb="FF000000"/>
        <rFont val="Calibri"/>
        <family val="2"/>
        <charset val="186"/>
      </rPr>
      <t>(EUR)</t>
    </r>
  </si>
  <si>
    <r>
      <rPr>
        <b/>
        <sz val="8"/>
        <color rgb="FF000000"/>
        <rFont val="Calibri"/>
        <family val="2"/>
        <charset val="186"/>
      </rPr>
      <t>KOPĒJĀS PIETEIKTĀS INVESTĪCIJAS CŪS ZONĀ</t>
    </r>
    <r>
      <rPr>
        <sz val="8"/>
        <color rgb="FF000000"/>
        <rFont val="Calibri"/>
        <family val="2"/>
        <charset val="186"/>
      </rPr>
      <t xml:space="preserve"> (EUR)</t>
    </r>
  </si>
  <si>
    <t>13088 m</t>
  </si>
  <si>
    <t>urbumi, spiediena sūkņu stacijas</t>
  </si>
  <si>
    <t>Ūdensvads Dn800, 6000 m</t>
  </si>
  <si>
    <t>58000 m</t>
  </si>
  <si>
    <t>Rezerv. Zaķmuiža 8000 m3</t>
  </si>
  <si>
    <t>tehnoloģiskās iekārtas</t>
  </si>
  <si>
    <t>Rezerv. Baltezers 14000 m3</t>
  </si>
  <si>
    <t>dzeramā ūdens sagatavošanas stacijas "Daugava" pārbūve</t>
  </si>
  <si>
    <t>ozona ražošanas un padeves sistēmas rekonstrukcija</t>
  </si>
  <si>
    <t>urbumu rekonstrukcija 22 gab.</t>
  </si>
  <si>
    <t>aizbīdņu, hidrantu maiņa</t>
  </si>
  <si>
    <t>20500 m</t>
  </si>
  <si>
    <t>Saules enerģijas stacija</t>
  </si>
  <si>
    <t>pazemes rezervuāri 2x1000 m3</t>
  </si>
  <si>
    <t>3000 m</t>
  </si>
  <si>
    <t>ŪAS energoefektivitātes uzlabošana</t>
  </si>
  <si>
    <t>18000 m</t>
  </si>
  <si>
    <t>Pastāvīgie spiediena mērītāji</t>
  </si>
  <si>
    <t>34175 m</t>
  </si>
  <si>
    <t>ŪSI energoefektivitātes uzlabošana</t>
  </si>
  <si>
    <t>III pacēl. ss</t>
  </si>
  <si>
    <t>3125 m</t>
  </si>
  <si>
    <t xml:space="preserve">Spiediena sūkņu stacija </t>
  </si>
  <si>
    <t>4150 m</t>
  </si>
  <si>
    <t>10 UPS ŪSS un 10 frekvenču pārveidotāji urbumos</t>
  </si>
  <si>
    <t>3 jaunas akas, 8 aku tamponāža</t>
  </si>
  <si>
    <t>Tīklu armatūra, Lielupes šķērsojums</t>
  </si>
  <si>
    <t>ŪAS demanganizācija</t>
  </si>
  <si>
    <t xml:space="preserve">10110 m </t>
  </si>
  <si>
    <t>komplekts</t>
  </si>
  <si>
    <t>Jaudu palielināšana</t>
  </si>
  <si>
    <t>9700 m</t>
  </si>
  <si>
    <t>hidranti</t>
  </si>
  <si>
    <t>45000 m</t>
  </si>
  <si>
    <t>Frekvenču pārveidotājs</t>
  </si>
  <si>
    <t>4000 m</t>
  </si>
  <si>
    <t>Urbumu tamponāža ūdenstorņa demontāža</t>
  </si>
  <si>
    <t>620 m</t>
  </si>
  <si>
    <t>12000 m</t>
  </si>
  <si>
    <t>1200 m</t>
  </si>
  <si>
    <t>3160 m</t>
  </si>
  <si>
    <t>4170 m</t>
  </si>
  <si>
    <t>AER 70 kW</t>
  </si>
  <si>
    <t>10000 m</t>
  </si>
  <si>
    <t>4300 m</t>
  </si>
  <si>
    <t>jauni urbumi</t>
  </si>
  <si>
    <t>11440 m</t>
  </si>
  <si>
    <t>13000 m</t>
  </si>
  <si>
    <t>4628 m</t>
  </si>
  <si>
    <t>2 urbumi</t>
  </si>
  <si>
    <t xml:space="preserve">1000 m </t>
  </si>
  <si>
    <t>spiediena sūkņu stacija</t>
  </si>
  <si>
    <t>ŪAS komplekts</t>
  </si>
  <si>
    <t>820 m</t>
  </si>
  <si>
    <t>2 urbumu tamponāža</t>
  </si>
  <si>
    <t>AER 20 kW</t>
  </si>
  <si>
    <t>550 m</t>
  </si>
  <si>
    <t>4920 m</t>
  </si>
  <si>
    <t>2 jauni urbumi</t>
  </si>
  <si>
    <t>14600 m</t>
  </si>
  <si>
    <t>4200 m</t>
  </si>
  <si>
    <t>aka</t>
  </si>
  <si>
    <t>4000 pieslēgumi</t>
  </si>
  <si>
    <t xml:space="preserve">400 m </t>
  </si>
  <si>
    <t>5000 m + 1000 atzari, UAS rekonstrukcija</t>
  </si>
  <si>
    <t>14679 m</t>
  </si>
  <si>
    <t>Ūdenstorņa un urbumu rekonstrukcija</t>
  </si>
  <si>
    <t>ŪAS rekonstrukcija</t>
  </si>
  <si>
    <t>918 m</t>
  </si>
  <si>
    <t>Rezervuārs + aka</t>
  </si>
  <si>
    <t>8300 m</t>
  </si>
  <si>
    <t>3772 m</t>
  </si>
  <si>
    <t>6000 m</t>
  </si>
  <si>
    <t xml:space="preserve">1850 m </t>
  </si>
  <si>
    <t>2100 m</t>
  </si>
  <si>
    <t>AER</t>
  </si>
  <si>
    <t>Energoefektivitātes komplekts</t>
  </si>
  <si>
    <t>5928 m</t>
  </si>
  <si>
    <t>ŪAS paplašināšana Dreiliņiem</t>
  </si>
  <si>
    <t>6530 m</t>
  </si>
  <si>
    <t>3030 m</t>
  </si>
  <si>
    <t>AER 30 kW</t>
  </si>
  <si>
    <t>5350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</si>
</sst>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rgb="FF0070C0"/>
      <name val="Calibri"/>
      <family val="2"/>
      <charset val="186"/>
    </font>
    <font>
      <b/>
      <sz val="16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8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b/>
      <sz val="8"/>
      <color rgb="FF000000"/>
      <name val="Calibri"/>
      <family val="2"/>
      <charset val="186"/>
    </font>
    <font>
      <sz val="8"/>
      <color rgb="FF0070C0"/>
      <name val="Calibri"/>
      <family val="2"/>
      <charset val="186"/>
    </font>
    <font>
      <sz val="10"/>
      <color rgb="FF000000"/>
      <name val="Calibri"/>
      <family val="2"/>
      <charset val="186"/>
    </font>
    <font>
      <sz val="9"/>
      <color rgb="FF000000"/>
      <name val="Calibri"/>
      <family val="2"/>
      <charset val="186"/>
    </font>
    <font>
      <sz val="9"/>
      <color rgb="FF0070C0"/>
      <name val="Calibri"/>
      <family val="2"/>
      <charset val="186"/>
    </font>
    <font>
      <sz val="10"/>
      <color rgb="FF0070C0"/>
      <name val="Calibri"/>
      <family val="2"/>
      <charset val="186"/>
    </font>
    <font>
      <sz val="11"/>
      <color rgb="FF2F75B5"/>
      <name val="Calibri"/>
      <family val="2"/>
      <charset val="186"/>
    </font>
    <font>
      <b/>
      <sz val="8"/>
      <color rgb="FFC00000"/>
      <name val="Calibri"/>
      <family val="2"/>
      <charset val="186"/>
    </font>
    <font>
      <i/>
      <sz val="9"/>
      <color rgb="FF2F75B5"/>
      <name val="Calibri"/>
      <family val="2"/>
      <charset val="186"/>
    </font>
    <font>
      <b/>
      <sz val="9"/>
      <color rgb="FF000000"/>
      <name val="Calibri"/>
      <family val="2"/>
      <charset val="186"/>
    </font>
    <font>
      <sz val="9"/>
      <color rgb="FF2F75B5"/>
      <name val="Calibri"/>
      <family val="2"/>
      <charset val="186"/>
    </font>
    <font>
      <b/>
      <sz val="9"/>
      <color rgb="FF000000"/>
      <name val="Tahoma"/>
      <family val="2"/>
      <charset val="186"/>
    </font>
    <font>
      <sz val="9"/>
      <color rgb="FF000000"/>
      <name val="Tahoma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4B084"/>
      </patternFill>
    </fill>
    <fill>
      <patternFill patternType="solid">
        <fgColor rgb="FFFFC7CE"/>
        <bgColor rgb="FFFFC7CE"/>
      </patternFill>
    </fill>
    <fill>
      <patternFill patternType="solid">
        <fgColor rgb="FF8EA9DB"/>
        <bgColor rgb="FF8EA9DB"/>
      </patternFill>
    </fill>
    <fill>
      <patternFill patternType="solid">
        <fgColor rgb="FFC6EFCE"/>
        <bgColor rgb="FFC6EFCE"/>
      </patternFill>
    </fill>
    <fill>
      <patternFill patternType="solid">
        <fgColor rgb="FFC6E0B4"/>
        <bgColor rgb="FFC6E0B4"/>
      </patternFill>
    </fill>
    <fill>
      <patternFill patternType="solid">
        <fgColor rgb="FFE2EFDA"/>
        <bgColor rgb="FFE2EFDA"/>
      </patternFill>
    </fill>
    <fill>
      <patternFill patternType="solid">
        <fgColor rgb="FFBFBFBF"/>
        <bgColor rgb="FFBFBFBF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4">
    <xf numFmtId="0" fontId="0" fillId="0" borderId="0"/>
    <xf numFmtId="0" fontId="1" fillId="2" borderId="0" applyNumberFormat="0" applyFon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Font="0" applyBorder="0" applyAlignment="0" applyProtection="0"/>
    <xf numFmtId="0" fontId="1" fillId="0" borderId="0" applyNumberFormat="0" applyFont="0" applyFill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9" fontId="1" fillId="0" borderId="0" applyFont="0" applyFill="0" applyBorder="0" applyAlignment="0" applyProtection="0"/>
  </cellStyleXfs>
  <cellXfs count="137">
    <xf numFmtId="0" fontId="0" fillId="0" borderId="0" xfId="0"/>
    <xf numFmtId="3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0" xfId="0" applyFont="1"/>
    <xf numFmtId="3" fontId="7" fillId="0" borderId="0" xfId="0" applyNumberFormat="1" applyFont="1" applyFill="1" applyAlignment="1">
      <alignment horizontal="center"/>
    </xf>
    <xf numFmtId="3" fontId="7" fillId="7" borderId="4" xfId="0" applyNumberFormat="1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3" fontId="9" fillId="7" borderId="6" xfId="0" applyNumberFormat="1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3" fontId="7" fillId="7" borderId="6" xfId="0" applyNumberFormat="1" applyFont="1" applyFill="1" applyBorder="1" applyAlignment="1">
      <alignment horizontal="center" vertical="center" wrapText="1"/>
    </xf>
    <xf numFmtId="3" fontId="7" fillId="7" borderId="7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left"/>
    </xf>
    <xf numFmtId="3" fontId="11" fillId="8" borderId="9" xfId="0" applyNumberFormat="1" applyFont="1" applyFill="1" applyBorder="1" applyAlignment="1">
      <alignment horizontal="center" vertical="center"/>
    </xf>
    <xf numFmtId="3" fontId="0" fillId="8" borderId="4" xfId="0" applyNumberForma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3" fontId="0" fillId="8" borderId="6" xfId="0" applyNumberForma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0" fontId="0" fillId="0" borderId="0" xfId="0" applyFill="1"/>
    <xf numFmtId="0" fontId="11" fillId="0" borderId="4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/>
    </xf>
    <xf numFmtId="3" fontId="12" fillId="0" borderId="9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3" fontId="12" fillId="0" borderId="7" xfId="0" applyNumberFormat="1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/>
    </xf>
    <xf numFmtId="3" fontId="12" fillId="8" borderId="9" xfId="0" applyNumberFormat="1" applyFont="1" applyFill="1" applyBorder="1" applyAlignment="1">
      <alignment horizontal="center" vertical="center"/>
    </xf>
    <xf numFmtId="3" fontId="12" fillId="8" borderId="4" xfId="0" applyNumberFormat="1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3" fontId="12" fillId="8" borderId="6" xfId="0" applyNumberFormat="1" applyFont="1" applyFill="1" applyBorder="1" applyAlignment="1">
      <alignment horizontal="center" vertical="center"/>
    </xf>
    <xf numFmtId="3" fontId="12" fillId="8" borderId="7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/>
    </xf>
    <xf numFmtId="3" fontId="12" fillId="0" borderId="13" xfId="0" applyNumberFormat="1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 wrapText="1"/>
    </xf>
    <xf numFmtId="3" fontId="12" fillId="8" borderId="9" xfId="0" applyNumberFormat="1" applyFont="1" applyFill="1" applyBorder="1" applyAlignment="1">
      <alignment horizontal="center" vertical="center" wrapText="1"/>
    </xf>
    <xf numFmtId="0" fontId="12" fillId="8" borderId="9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3" fontId="12" fillId="0" borderId="9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3" fontId="12" fillId="0" borderId="14" xfId="0" applyNumberFormat="1" applyFont="1" applyFill="1" applyBorder="1" applyAlignment="1">
      <alignment horizontal="center" vertical="center"/>
    </xf>
    <xf numFmtId="4" fontId="13" fillId="0" borderId="15" xfId="0" applyNumberFormat="1" applyFont="1" applyFill="1" applyBorder="1" applyAlignment="1">
      <alignment horizontal="center" vertical="center"/>
    </xf>
    <xf numFmtId="3" fontId="12" fillId="0" borderId="16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center" vertical="center"/>
    </xf>
    <xf numFmtId="3" fontId="12" fillId="0" borderId="17" xfId="0" applyNumberFormat="1" applyFont="1" applyFill="1" applyBorder="1" applyAlignment="1">
      <alignment horizontal="center" vertical="center"/>
    </xf>
    <xf numFmtId="4" fontId="13" fillId="0" borderId="20" xfId="0" applyNumberFormat="1" applyFont="1" applyFill="1" applyBorder="1" applyAlignment="1">
      <alignment horizontal="center" vertical="center"/>
    </xf>
    <xf numFmtId="3" fontId="12" fillId="0" borderId="21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3" fontId="12" fillId="0" borderId="2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3" fontId="8" fillId="6" borderId="3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/>
    </xf>
    <xf numFmtId="3" fontId="12" fillId="0" borderId="11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3" fontId="12" fillId="0" borderId="7" xfId="0" applyNumberFormat="1" applyFont="1" applyFill="1" applyBorder="1" applyAlignment="1">
      <alignment horizontal="center" vertical="center"/>
    </xf>
    <xf numFmtId="3" fontId="0" fillId="0" borderId="0" xfId="0" applyNumberFormat="1"/>
    <xf numFmtId="4" fontId="14" fillId="0" borderId="0" xfId="0" applyNumberFormat="1" applyFont="1"/>
    <xf numFmtId="0" fontId="4" fillId="0" borderId="0" xfId="0" applyFont="1"/>
    <xf numFmtId="4" fontId="4" fillId="0" borderId="0" xfId="0" applyNumberFormat="1" applyFont="1"/>
    <xf numFmtId="4" fontId="15" fillId="0" borderId="0" xfId="0" applyNumberFormat="1" applyFont="1"/>
    <xf numFmtId="3" fontId="7" fillId="7" borderId="8" xfId="0" applyNumberFormat="1" applyFont="1" applyFill="1" applyBorder="1" applyAlignment="1">
      <alignment horizontal="center" vertical="center" wrapText="1"/>
    </xf>
    <xf numFmtId="3" fontId="7" fillId="7" borderId="5" xfId="0" applyNumberFormat="1" applyFont="1" applyFill="1" applyBorder="1" applyAlignment="1">
      <alignment horizontal="center" vertical="center" wrapText="1"/>
    </xf>
    <xf numFmtId="4" fontId="10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3" fontId="0" fillId="8" borderId="8" xfId="0" applyNumberFormat="1" applyFill="1" applyBorder="1" applyAlignment="1">
      <alignment horizontal="center" vertical="center"/>
    </xf>
    <xf numFmtId="3" fontId="0" fillId="8" borderId="4" xfId="0" applyNumberFormat="1" applyFill="1" applyBorder="1"/>
    <xf numFmtId="3" fontId="0" fillId="8" borderId="5" xfId="0" applyNumberFormat="1" applyFill="1" applyBorder="1"/>
    <xf numFmtId="3" fontId="0" fillId="8" borderId="6" xfId="0" applyNumberFormat="1" applyFill="1" applyBorder="1"/>
    <xf numFmtId="4" fontId="14" fillId="8" borderId="6" xfId="0" applyNumberFormat="1" applyFont="1" applyFill="1" applyBorder="1"/>
    <xf numFmtId="0" fontId="0" fillId="8" borderId="6" xfId="0" applyFill="1" applyBorder="1"/>
    <xf numFmtId="0" fontId="4" fillId="8" borderId="6" xfId="0" applyFont="1" applyFill="1" applyBorder="1"/>
    <xf numFmtId="4" fontId="4" fillId="8" borderId="6" xfId="0" applyNumberFormat="1" applyFont="1" applyFill="1" applyBorder="1"/>
    <xf numFmtId="3" fontId="0" fillId="8" borderId="8" xfId="0" applyNumberFormat="1" applyFill="1" applyBorder="1"/>
    <xf numFmtId="4" fontId="15" fillId="8" borderId="8" xfId="0" applyNumberFormat="1" applyFont="1" applyFill="1" applyBorder="1"/>
    <xf numFmtId="0" fontId="0" fillId="8" borderId="8" xfId="0" applyFill="1" applyBorder="1"/>
    <xf numFmtId="3" fontId="0" fillId="8" borderId="7" xfId="0" applyNumberFormat="1" applyFill="1" applyBorder="1"/>
    <xf numFmtId="3" fontId="12" fillId="0" borderId="8" xfId="0" applyNumberFormat="1" applyFont="1" applyFill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3" fontId="13" fillId="0" borderId="6" xfId="0" applyNumberFormat="1" applyFont="1" applyFill="1" applyBorder="1" applyAlignment="1">
      <alignment horizontal="center" vertical="center"/>
    </xf>
    <xf numFmtId="4" fontId="17" fillId="0" borderId="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3" fontId="18" fillId="0" borderId="7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3" fontId="12" fillId="8" borderId="8" xfId="0" applyNumberFormat="1" applyFont="1" applyFill="1" applyBorder="1" applyAlignment="1">
      <alignment horizontal="center" vertical="center"/>
    </xf>
    <xf numFmtId="3" fontId="12" fillId="8" borderId="5" xfId="0" applyNumberFormat="1" applyFont="1" applyFill="1" applyBorder="1" applyAlignment="1">
      <alignment horizontal="center" vertical="center"/>
    </xf>
    <xf numFmtId="4" fontId="13" fillId="8" borderId="6" xfId="0" applyNumberFormat="1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4" fontId="12" fillId="8" borderId="6" xfId="0" applyNumberFormat="1" applyFont="1" applyFill="1" applyBorder="1" applyAlignment="1">
      <alignment horizontal="center" vertical="center"/>
    </xf>
    <xf numFmtId="4" fontId="19" fillId="8" borderId="8" xfId="0" applyNumberFormat="1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 vertical="center"/>
    </xf>
    <xf numFmtId="3" fontId="18" fillId="8" borderId="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23" xfId="0" applyFill="1" applyBorder="1"/>
    <xf numFmtId="4" fontId="19" fillId="8" borderId="6" xfId="0" applyNumberFormat="1" applyFont="1" applyFill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/>
    </xf>
    <xf numFmtId="3" fontId="12" fillId="0" borderId="24" xfId="0" applyNumberFormat="1" applyFont="1" applyFill="1" applyBorder="1" applyAlignment="1">
      <alignment horizontal="center" vertical="center"/>
    </xf>
    <xf numFmtId="3" fontId="12" fillId="0" borderId="18" xfId="0" applyNumberFormat="1" applyFont="1" applyFill="1" applyBorder="1" applyAlignment="1">
      <alignment horizontal="center" vertical="center"/>
    </xf>
    <xf numFmtId="3" fontId="12" fillId="0" borderId="20" xfId="0" applyNumberFormat="1" applyFont="1" applyFill="1" applyBorder="1" applyAlignment="1">
      <alignment horizontal="center" vertical="center"/>
    </xf>
    <xf numFmtId="4" fontId="13" fillId="0" borderId="16" xfId="0" applyNumberFormat="1" applyFont="1" applyFill="1" applyBorder="1" applyAlignment="1">
      <alignment horizontal="center" vertical="center"/>
    </xf>
    <xf numFmtId="4" fontId="13" fillId="0" borderId="21" xfId="0" applyNumberFormat="1" applyFont="1" applyFill="1" applyBorder="1" applyAlignment="1">
      <alignment horizontal="center" vertical="center"/>
    </xf>
    <xf numFmtId="3" fontId="13" fillId="0" borderId="16" xfId="0" applyNumberFormat="1" applyFont="1" applyFill="1" applyBorder="1" applyAlignment="1">
      <alignment horizontal="center" vertical="center"/>
    </xf>
    <xf numFmtId="4" fontId="17" fillId="0" borderId="25" xfId="0" applyNumberFormat="1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3" fontId="18" fillId="0" borderId="22" xfId="0" applyNumberFormat="1" applyFont="1" applyFill="1" applyBorder="1" applyAlignment="1">
      <alignment horizontal="center" vertical="center"/>
    </xf>
    <xf numFmtId="3" fontId="13" fillId="0" borderId="6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3" fontId="18" fillId="0" borderId="7" xfId="0" applyNumberFormat="1" applyFont="1" applyFill="1" applyBorder="1" applyAlignment="1">
      <alignment horizontal="center" vertical="center"/>
    </xf>
    <xf numFmtId="0" fontId="0" fillId="0" borderId="6" xfId="0" applyFill="1" applyBorder="1"/>
  </cellXfs>
  <cellStyles count="24">
    <cellStyle name="cf1" xfId="1"/>
    <cellStyle name="cf10" xfId="2"/>
    <cellStyle name="cf11" xfId="3"/>
    <cellStyle name="cf12" xfId="4"/>
    <cellStyle name="cf13" xfId="5"/>
    <cellStyle name="cf14" xfId="6"/>
    <cellStyle name="cf15" xfId="7"/>
    <cellStyle name="cf16" xfId="8"/>
    <cellStyle name="cf17" xfId="9"/>
    <cellStyle name="cf18" xfId="10"/>
    <cellStyle name="cf19" xfId="11"/>
    <cellStyle name="cf2" xfId="12"/>
    <cellStyle name="cf20" xfId="13"/>
    <cellStyle name="cf3" xfId="14"/>
    <cellStyle name="cf4" xfId="15"/>
    <cellStyle name="cf5" xfId="16"/>
    <cellStyle name="cf6" xfId="17"/>
    <cellStyle name="cf7" xfId="18"/>
    <cellStyle name="cf8" xfId="19"/>
    <cellStyle name="cf9" xfId="20"/>
    <cellStyle name="Normal" xfId="0" builtinId="0" customBuiltin="1"/>
    <cellStyle name="Normal 2" xfId="21"/>
    <cellStyle name="Parasts 2" xfId="22"/>
    <cellStyle name="Procenti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7"/>
  <sheetViews>
    <sheetView tabSelected="1" workbookViewId="0"/>
  </sheetViews>
  <sheetFormatPr defaultRowHeight="14.45" x14ac:dyDescent="0.25"/>
  <cols>
    <col min="1" max="1" width="3.85546875" customWidth="1"/>
    <col min="2" max="2" width="3" customWidth="1"/>
    <col min="3" max="3" width="8.42578125" customWidth="1"/>
    <col min="4" max="4" width="16" customWidth="1"/>
    <col min="5" max="5" width="12.5703125" style="1" customWidth="1"/>
    <col min="6" max="6" width="9.28515625" style="1" customWidth="1"/>
    <col min="7" max="7" width="9.140625" style="2" customWidth="1"/>
    <col min="8" max="8" width="10.85546875" style="2" customWidth="1"/>
    <col min="9" max="9" width="9.85546875" style="1" customWidth="1"/>
    <col min="10" max="10" width="10.140625" style="2" customWidth="1"/>
    <col min="11" max="11" width="8.140625" style="3" customWidth="1"/>
    <col min="12" max="13" width="9.140625" style="1" customWidth="1"/>
    <col min="14" max="14" width="10.140625" style="1" customWidth="1"/>
    <col min="15" max="15" width="10.85546875" style="1" customWidth="1"/>
    <col min="16" max="16" width="10.42578125" style="1" customWidth="1"/>
    <col min="17" max="17" width="11" style="1" customWidth="1"/>
    <col min="18" max="18" width="9.140625" customWidth="1"/>
  </cols>
  <sheetData>
    <row r="1" spans="2:19" ht="15" x14ac:dyDescent="0.25">
      <c r="Q1" s="1" t="s">
        <v>0</v>
      </c>
    </row>
    <row r="2" spans="2:19" ht="21" x14ac:dyDescent="0.35">
      <c r="C2" s="63" t="s">
        <v>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2:19" ht="22.35" customHeight="1" thickBot="1" x14ac:dyDescent="0.3">
      <c r="B3" s="4"/>
      <c r="S3" s="5"/>
    </row>
    <row r="4" spans="2:19" ht="19.350000000000001" customHeight="1" thickBot="1" x14ac:dyDescent="0.3">
      <c r="C4" s="64" t="s">
        <v>2</v>
      </c>
      <c r="D4" s="65" t="s">
        <v>3</v>
      </c>
      <c r="E4" s="66" t="s">
        <v>4</v>
      </c>
      <c r="F4" s="67" t="s">
        <v>1</v>
      </c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2:19" ht="61.7" customHeight="1" x14ac:dyDescent="0.25">
      <c r="C5" s="64"/>
      <c r="D5" s="65"/>
      <c r="E5" s="66"/>
      <c r="F5" s="6" t="s">
        <v>5</v>
      </c>
      <c r="G5" s="7" t="s">
        <v>6</v>
      </c>
      <c r="H5" s="7" t="s">
        <v>7</v>
      </c>
      <c r="I5" s="8" t="s">
        <v>8</v>
      </c>
      <c r="J5" s="9" t="s">
        <v>9</v>
      </c>
      <c r="K5" s="10" t="s">
        <v>10</v>
      </c>
      <c r="L5" s="11" t="s">
        <v>11</v>
      </c>
      <c r="M5" s="11" t="s">
        <v>12</v>
      </c>
      <c r="N5" s="11" t="s">
        <v>13</v>
      </c>
      <c r="O5" s="11" t="s">
        <v>14</v>
      </c>
      <c r="P5" s="11" t="s">
        <v>15</v>
      </c>
      <c r="Q5" s="12" t="s">
        <v>16</v>
      </c>
    </row>
    <row r="6" spans="2:19" ht="15" x14ac:dyDescent="0.25">
      <c r="C6" s="13"/>
      <c r="D6" s="14" t="s">
        <v>17</v>
      </c>
      <c r="E6" s="15"/>
      <c r="F6" s="16"/>
      <c r="G6" s="17"/>
      <c r="H6" s="17"/>
      <c r="I6" s="18"/>
      <c r="J6" s="19"/>
      <c r="K6" s="20"/>
      <c r="L6" s="18"/>
      <c r="M6" s="18"/>
      <c r="N6" s="18"/>
      <c r="O6" s="18"/>
      <c r="P6" s="18"/>
      <c r="Q6" s="21"/>
    </row>
    <row r="7" spans="2:19" s="22" customFormat="1" ht="42" customHeight="1" x14ac:dyDescent="0.25">
      <c r="C7" s="23" t="s">
        <v>18</v>
      </c>
      <c r="D7" s="24" t="s">
        <v>19</v>
      </c>
      <c r="E7" s="25">
        <v>85932</v>
      </c>
      <c r="F7" s="26">
        <v>84663</v>
      </c>
      <c r="G7" s="27">
        <f>F7/E7*100</f>
        <v>98.523250942605785</v>
      </c>
      <c r="H7" s="27">
        <f>(F7+'2_P'!T7)/E7*100</f>
        <v>98.523250942605785</v>
      </c>
      <c r="I7" s="28">
        <v>78862</v>
      </c>
      <c r="J7" s="29">
        <f>I7/F7*100</f>
        <v>93.148128462256238</v>
      </c>
      <c r="K7" s="30">
        <v>14.5</v>
      </c>
      <c r="L7" s="28">
        <v>43690</v>
      </c>
      <c r="M7" s="28">
        <v>43690</v>
      </c>
      <c r="N7" s="28">
        <v>14550</v>
      </c>
      <c r="O7" s="28">
        <v>4044409</v>
      </c>
      <c r="P7" s="28">
        <v>3920307</v>
      </c>
      <c r="Q7" s="31">
        <v>2091525</v>
      </c>
    </row>
    <row r="8" spans="2:19" s="22" customFormat="1" ht="24" customHeight="1" x14ac:dyDescent="0.25">
      <c r="C8" s="68" t="s">
        <v>20</v>
      </c>
      <c r="D8" s="69" t="s">
        <v>21</v>
      </c>
      <c r="E8" s="70">
        <v>677295</v>
      </c>
      <c r="F8" s="71">
        <v>663924</v>
      </c>
      <c r="G8" s="72">
        <f>F8/E8*100</f>
        <v>98.025823311850829</v>
      </c>
      <c r="H8" s="72">
        <f>(F8+'2_P'!T8)/E8*100</f>
        <v>100.55972655932793</v>
      </c>
      <c r="I8" s="73">
        <v>657897</v>
      </c>
      <c r="J8" s="72">
        <f>I8/F8*100</f>
        <v>99.092215374048848</v>
      </c>
      <c r="K8" s="74">
        <v>12.12</v>
      </c>
      <c r="L8" s="73">
        <v>272488</v>
      </c>
      <c r="M8" s="73">
        <v>178000</v>
      </c>
      <c r="N8" s="73">
        <v>58000</v>
      </c>
      <c r="O8" s="73">
        <f>46680000</f>
        <v>46680000</v>
      </c>
      <c r="P8" s="73">
        <f>29082000</f>
        <v>29082000</v>
      </c>
      <c r="Q8" s="75">
        <v>19189095</v>
      </c>
    </row>
    <row r="9" spans="2:19" s="22" customFormat="1" ht="22.7" customHeight="1" x14ac:dyDescent="0.25">
      <c r="C9" s="68"/>
      <c r="D9" s="69"/>
      <c r="E9" s="70"/>
      <c r="F9" s="71"/>
      <c r="G9" s="72"/>
      <c r="H9" s="72"/>
      <c r="I9" s="73"/>
      <c r="J9" s="72"/>
      <c r="K9" s="74"/>
      <c r="L9" s="73"/>
      <c r="M9" s="73"/>
      <c r="N9" s="73"/>
      <c r="O9" s="73"/>
      <c r="P9" s="73"/>
      <c r="Q9" s="75"/>
    </row>
    <row r="10" spans="2:19" s="22" customFormat="1" ht="34.700000000000003" customHeight="1" x14ac:dyDescent="0.25">
      <c r="C10" s="68"/>
      <c r="D10" s="69"/>
      <c r="E10" s="70"/>
      <c r="F10" s="71"/>
      <c r="G10" s="72"/>
      <c r="H10" s="72"/>
      <c r="I10" s="73"/>
      <c r="J10" s="72"/>
      <c r="K10" s="74"/>
      <c r="L10" s="73"/>
      <c r="M10" s="73"/>
      <c r="N10" s="73"/>
      <c r="O10" s="73"/>
      <c r="P10" s="73"/>
      <c r="Q10" s="75"/>
    </row>
    <row r="11" spans="2:19" s="22" customFormat="1" ht="48.6" customHeight="1" x14ac:dyDescent="0.25">
      <c r="C11" s="68"/>
      <c r="D11" s="69"/>
      <c r="E11" s="70"/>
      <c r="F11" s="71"/>
      <c r="G11" s="72"/>
      <c r="H11" s="72"/>
      <c r="I11" s="73"/>
      <c r="J11" s="72"/>
      <c r="K11" s="74"/>
      <c r="L11" s="73"/>
      <c r="M11" s="73"/>
      <c r="N11" s="73"/>
      <c r="O11" s="73"/>
      <c r="P11" s="73"/>
      <c r="Q11" s="75"/>
    </row>
    <row r="12" spans="2:19" s="22" customFormat="1" ht="37.35" customHeight="1" x14ac:dyDescent="0.25">
      <c r="C12" s="68"/>
      <c r="D12" s="69"/>
      <c r="E12" s="70"/>
      <c r="F12" s="71"/>
      <c r="G12" s="72"/>
      <c r="H12" s="72"/>
      <c r="I12" s="73"/>
      <c r="J12" s="72"/>
      <c r="K12" s="74"/>
      <c r="L12" s="73"/>
      <c r="M12" s="73"/>
      <c r="N12" s="73"/>
      <c r="O12" s="73"/>
      <c r="P12" s="73"/>
      <c r="Q12" s="75"/>
    </row>
    <row r="13" spans="2:19" s="22" customFormat="1" ht="15" x14ac:dyDescent="0.25">
      <c r="C13" s="68"/>
      <c r="D13" s="69"/>
      <c r="E13" s="70"/>
      <c r="F13" s="71"/>
      <c r="G13" s="72"/>
      <c r="H13" s="72"/>
      <c r="I13" s="73"/>
      <c r="J13" s="72"/>
      <c r="K13" s="74"/>
      <c r="L13" s="73"/>
      <c r="M13" s="73"/>
      <c r="N13" s="73"/>
      <c r="O13" s="73"/>
      <c r="P13" s="73"/>
      <c r="Q13" s="75"/>
    </row>
    <row r="14" spans="2:19" ht="15" customHeight="1" x14ac:dyDescent="0.25">
      <c r="C14" s="13"/>
      <c r="D14" s="32" t="s">
        <v>22</v>
      </c>
      <c r="E14" s="33"/>
      <c r="F14" s="34"/>
      <c r="G14" s="35"/>
      <c r="H14" s="35"/>
      <c r="I14" s="34"/>
      <c r="J14" s="35"/>
      <c r="K14" s="35"/>
      <c r="L14" s="36"/>
      <c r="M14" s="36"/>
      <c r="N14" s="36"/>
      <c r="O14" s="36"/>
      <c r="P14" s="36"/>
      <c r="Q14" s="37"/>
    </row>
    <row r="15" spans="2:19" s="22" customFormat="1" ht="15" x14ac:dyDescent="0.25">
      <c r="C15" s="23" t="s">
        <v>23</v>
      </c>
      <c r="D15" s="38" t="s">
        <v>24</v>
      </c>
      <c r="E15" s="25">
        <v>8272</v>
      </c>
      <c r="F15" s="26">
        <v>8011</v>
      </c>
      <c r="G15" s="27">
        <f>F15/E15*100</f>
        <v>96.844777562862674</v>
      </c>
      <c r="H15" s="27">
        <f>(F15+'2_P'!T15)/E15*100</f>
        <v>96.844777562862674</v>
      </c>
      <c r="I15" s="28">
        <v>7911</v>
      </c>
      <c r="J15" s="29">
        <f>I15/F15*100</f>
        <v>98.751716389963789</v>
      </c>
      <c r="K15" s="30">
        <v>32</v>
      </c>
      <c r="L15" s="28" t="s">
        <v>25</v>
      </c>
      <c r="M15" s="28">
        <v>3500</v>
      </c>
      <c r="N15" s="28">
        <v>1000</v>
      </c>
      <c r="O15" s="28">
        <v>432721</v>
      </c>
      <c r="P15" s="28">
        <v>275739</v>
      </c>
      <c r="Q15" s="31">
        <v>254425</v>
      </c>
    </row>
    <row r="16" spans="2:19" s="22" customFormat="1" ht="15" x14ac:dyDescent="0.25">
      <c r="C16" s="68" t="s">
        <v>26</v>
      </c>
      <c r="D16" s="69" t="s">
        <v>27</v>
      </c>
      <c r="E16" s="70">
        <v>16146</v>
      </c>
      <c r="F16" s="71">
        <v>16115</v>
      </c>
      <c r="G16" s="72">
        <f>F16/E16*100</f>
        <v>99.808001981915027</v>
      </c>
      <c r="H16" s="72">
        <f>(F16+42)/E16*100</f>
        <v>100.0681283289979</v>
      </c>
      <c r="I16" s="73">
        <v>15679</v>
      </c>
      <c r="J16" s="72">
        <f>I16/F16*100</f>
        <v>97.294446168166303</v>
      </c>
      <c r="K16" s="74">
        <v>14</v>
      </c>
      <c r="L16" s="73">
        <v>4800</v>
      </c>
      <c r="M16" s="73" t="s">
        <v>25</v>
      </c>
      <c r="N16" s="73">
        <v>5300</v>
      </c>
      <c r="O16" s="73">
        <v>777363</v>
      </c>
      <c r="P16" s="73">
        <v>606154</v>
      </c>
      <c r="Q16" s="75">
        <v>933114</v>
      </c>
    </row>
    <row r="17" spans="3:17" s="22" customFormat="1" ht="15" x14ac:dyDescent="0.25">
      <c r="C17" s="68"/>
      <c r="D17" s="69"/>
      <c r="E17" s="70"/>
      <c r="F17" s="71"/>
      <c r="G17" s="72"/>
      <c r="H17" s="72"/>
      <c r="I17" s="73"/>
      <c r="J17" s="72"/>
      <c r="K17" s="74"/>
      <c r="L17" s="73"/>
      <c r="M17" s="73"/>
      <c r="N17" s="73"/>
      <c r="O17" s="73"/>
      <c r="P17" s="73"/>
      <c r="Q17" s="75"/>
    </row>
    <row r="18" spans="3:17" s="22" customFormat="1" ht="15" x14ac:dyDescent="0.25">
      <c r="C18" s="23" t="s">
        <v>28</v>
      </c>
      <c r="D18" s="38" t="s">
        <v>29</v>
      </c>
      <c r="E18" s="25">
        <v>9758</v>
      </c>
      <c r="F18" s="26">
        <v>9221</v>
      </c>
      <c r="G18" s="27">
        <f>F18/E18*100</f>
        <v>94.496823119491708</v>
      </c>
      <c r="H18" s="27">
        <f>(F18+'2_P'!T18)/E18*100</f>
        <v>94.496823119491708</v>
      </c>
      <c r="I18" s="28">
        <v>8968</v>
      </c>
      <c r="J18" s="29">
        <f>I18/F18*100</f>
        <v>97.25626287821278</v>
      </c>
      <c r="K18" s="30">
        <v>19</v>
      </c>
      <c r="L18" s="28">
        <v>3628</v>
      </c>
      <c r="M18" s="28">
        <v>3500</v>
      </c>
      <c r="N18" s="28">
        <v>1050</v>
      </c>
      <c r="O18" s="28">
        <v>399525</v>
      </c>
      <c r="P18" s="28">
        <v>338865</v>
      </c>
      <c r="Q18" s="31">
        <v>147420</v>
      </c>
    </row>
    <row r="19" spans="3:17" s="22" customFormat="1" ht="15" x14ac:dyDescent="0.25">
      <c r="C19" s="23" t="s">
        <v>30</v>
      </c>
      <c r="D19" s="38" t="s">
        <v>31</v>
      </c>
      <c r="E19" s="25">
        <v>8378</v>
      </c>
      <c r="F19" s="26">
        <v>7413</v>
      </c>
      <c r="G19" s="27">
        <f>F19/E19*100</f>
        <v>88.481737884936734</v>
      </c>
      <c r="H19" s="27">
        <f>(F19+'2_P'!T19)/E19*100</f>
        <v>92.002864645500111</v>
      </c>
      <c r="I19" s="28">
        <v>6863</v>
      </c>
      <c r="J19" s="29">
        <f>I19/F19*100</f>
        <v>92.580601645757454</v>
      </c>
      <c r="K19" s="30">
        <v>39</v>
      </c>
      <c r="L19" s="28">
        <v>1100</v>
      </c>
      <c r="M19" s="28">
        <v>2000</v>
      </c>
      <c r="N19" s="28">
        <v>1000</v>
      </c>
      <c r="O19" s="28">
        <v>299271</v>
      </c>
      <c r="P19" s="28">
        <v>297351</v>
      </c>
      <c r="Q19" s="31">
        <v>173379</v>
      </c>
    </row>
    <row r="20" spans="3:17" s="22" customFormat="1" ht="24" customHeight="1" x14ac:dyDescent="0.25">
      <c r="C20" s="68" t="s">
        <v>32</v>
      </c>
      <c r="D20" s="69" t="s">
        <v>33</v>
      </c>
      <c r="E20" s="70">
        <v>57571</v>
      </c>
      <c r="F20" s="71">
        <v>57283</v>
      </c>
      <c r="G20" s="72">
        <f>F20/E20*100</f>
        <v>99.499748137082918</v>
      </c>
      <c r="H20" s="72">
        <f>(F20+224)/E20*100</f>
        <v>99.888832919351756</v>
      </c>
      <c r="I20" s="73">
        <v>50907</v>
      </c>
      <c r="J20" s="72">
        <f>I20/F20*100</f>
        <v>88.869298046540862</v>
      </c>
      <c r="K20" s="74">
        <v>21.4</v>
      </c>
      <c r="L20" s="73">
        <v>20736</v>
      </c>
      <c r="M20" s="73">
        <v>16000</v>
      </c>
      <c r="N20" s="73">
        <v>7800</v>
      </c>
      <c r="O20" s="73">
        <v>2971487</v>
      </c>
      <c r="P20" s="73">
        <v>2714268</v>
      </c>
      <c r="Q20" s="75">
        <v>1369121</v>
      </c>
    </row>
    <row r="21" spans="3:17" s="22" customFormat="1" ht="15" x14ac:dyDescent="0.25">
      <c r="C21" s="68"/>
      <c r="D21" s="69"/>
      <c r="E21" s="70"/>
      <c r="F21" s="71"/>
      <c r="G21" s="72"/>
      <c r="H21" s="72"/>
      <c r="I21" s="73"/>
      <c r="J21" s="72"/>
      <c r="K21" s="74"/>
      <c r="L21" s="73"/>
      <c r="M21" s="73"/>
      <c r="N21" s="73"/>
      <c r="O21" s="73"/>
      <c r="P21" s="73"/>
      <c r="Q21" s="75"/>
    </row>
    <row r="22" spans="3:17" s="22" customFormat="1" ht="15" x14ac:dyDescent="0.25">
      <c r="C22" s="68"/>
      <c r="D22" s="69"/>
      <c r="E22" s="70"/>
      <c r="F22" s="71"/>
      <c r="G22" s="72"/>
      <c r="H22" s="72"/>
      <c r="I22" s="73"/>
      <c r="J22" s="72"/>
      <c r="K22" s="74"/>
      <c r="L22" s="73"/>
      <c r="M22" s="73"/>
      <c r="N22" s="73"/>
      <c r="O22" s="73"/>
      <c r="P22" s="73"/>
      <c r="Q22" s="75"/>
    </row>
    <row r="23" spans="3:17" s="22" customFormat="1" ht="12.6" customHeight="1" x14ac:dyDescent="0.25">
      <c r="C23" s="68" t="s">
        <v>34</v>
      </c>
      <c r="D23" s="69" t="s">
        <v>35</v>
      </c>
      <c r="E23" s="70">
        <v>22805</v>
      </c>
      <c r="F23" s="71">
        <v>21247</v>
      </c>
      <c r="G23" s="72">
        <f>F23/E23*100</f>
        <v>93.168164876123654</v>
      </c>
      <c r="H23" s="72">
        <f>(F23+226)/E23*100</f>
        <v>94.159175619381713</v>
      </c>
      <c r="I23" s="73">
        <v>19943</v>
      </c>
      <c r="J23" s="72">
        <f>I23/F23*100</f>
        <v>93.862662964183173</v>
      </c>
      <c r="K23" s="74">
        <v>34</v>
      </c>
      <c r="L23" s="73">
        <v>4900</v>
      </c>
      <c r="M23" s="73">
        <v>12000</v>
      </c>
      <c r="N23" s="73">
        <v>2000</v>
      </c>
      <c r="O23" s="73">
        <v>907484</v>
      </c>
      <c r="P23" s="73">
        <v>876358</v>
      </c>
      <c r="Q23" s="75">
        <v>700980</v>
      </c>
    </row>
    <row r="24" spans="3:17" s="22" customFormat="1" ht="15" x14ac:dyDescent="0.25">
      <c r="C24" s="68"/>
      <c r="D24" s="69"/>
      <c r="E24" s="70"/>
      <c r="F24" s="71"/>
      <c r="G24" s="72"/>
      <c r="H24" s="72"/>
      <c r="I24" s="73"/>
      <c r="J24" s="72"/>
      <c r="K24" s="74"/>
      <c r="L24" s="73"/>
      <c r="M24" s="73"/>
      <c r="N24" s="73"/>
      <c r="O24" s="73"/>
      <c r="P24" s="73"/>
      <c r="Q24" s="75"/>
    </row>
    <row r="25" spans="3:17" s="22" customFormat="1" ht="24" customHeight="1" x14ac:dyDescent="0.25">
      <c r="C25" s="68" t="s">
        <v>36</v>
      </c>
      <c r="D25" s="69" t="s">
        <v>37</v>
      </c>
      <c r="E25" s="70">
        <v>55575</v>
      </c>
      <c r="F25" s="71">
        <v>49152</v>
      </c>
      <c r="G25" s="72">
        <f>F25/E25*100</f>
        <v>88.442645074224018</v>
      </c>
      <c r="H25" s="72">
        <f>(F25+500)/E25*100</f>
        <v>89.342330184435454</v>
      </c>
      <c r="I25" s="73">
        <v>38411</v>
      </c>
      <c r="J25" s="72">
        <f>I25/F25*100</f>
        <v>78.147379557291657</v>
      </c>
      <c r="K25" s="74">
        <v>26</v>
      </c>
      <c r="L25" s="73">
        <v>37827</v>
      </c>
      <c r="M25" s="73">
        <v>19374</v>
      </c>
      <c r="N25" s="73">
        <v>4700</v>
      </c>
      <c r="O25" s="73">
        <v>2913481</v>
      </c>
      <c r="P25" s="73">
        <v>2558090</v>
      </c>
      <c r="Q25" s="75">
        <v>1908752</v>
      </c>
    </row>
    <row r="26" spans="3:17" s="22" customFormat="1" ht="15" x14ac:dyDescent="0.25">
      <c r="C26" s="68"/>
      <c r="D26" s="69"/>
      <c r="E26" s="70"/>
      <c r="F26" s="71"/>
      <c r="G26" s="72"/>
      <c r="H26" s="72"/>
      <c r="I26" s="73"/>
      <c r="J26" s="72"/>
      <c r="K26" s="74"/>
      <c r="L26" s="73"/>
      <c r="M26" s="73"/>
      <c r="N26" s="73"/>
      <c r="O26" s="73"/>
      <c r="P26" s="73"/>
      <c r="Q26" s="75"/>
    </row>
    <row r="27" spans="3:17" s="22" customFormat="1" ht="15" x14ac:dyDescent="0.25">
      <c r="C27" s="23" t="s">
        <v>38</v>
      </c>
      <c r="D27" s="38" t="s">
        <v>39</v>
      </c>
      <c r="E27" s="25">
        <v>8878</v>
      </c>
      <c r="F27" s="26">
        <v>8690</v>
      </c>
      <c r="G27" s="27">
        <f>F27/E27*100</f>
        <v>97.88240594728542</v>
      </c>
      <c r="H27" s="27">
        <f>(F27+180)/E27*100</f>
        <v>99.909889614778109</v>
      </c>
      <c r="I27" s="28">
        <v>7325</v>
      </c>
      <c r="J27" s="29">
        <f>I27/F27*100</f>
        <v>84.292289988492513</v>
      </c>
      <c r="K27" s="30" t="s">
        <v>25</v>
      </c>
      <c r="L27" s="28">
        <v>165</v>
      </c>
      <c r="M27" s="28">
        <v>2000</v>
      </c>
      <c r="N27" s="28">
        <v>1000</v>
      </c>
      <c r="O27" s="28">
        <v>341690</v>
      </c>
      <c r="P27" s="28">
        <v>315470</v>
      </c>
      <c r="Q27" s="31">
        <v>165412</v>
      </c>
    </row>
    <row r="28" spans="3:17" s="22" customFormat="1" ht="15" x14ac:dyDescent="0.25">
      <c r="C28" s="23" t="s">
        <v>40</v>
      </c>
      <c r="D28" s="38" t="s">
        <v>41</v>
      </c>
      <c r="E28" s="25">
        <v>11237</v>
      </c>
      <c r="F28" s="26">
        <v>10981</v>
      </c>
      <c r="G28" s="27">
        <f>F28/E28*100</f>
        <v>97.721811871495959</v>
      </c>
      <c r="H28" s="27">
        <f>(F28+256)/E28*100</f>
        <v>100</v>
      </c>
      <c r="I28" s="28">
        <v>10197</v>
      </c>
      <c r="J28" s="29">
        <f>I28/F28*100</f>
        <v>92.860395228121291</v>
      </c>
      <c r="K28" s="30">
        <v>13.9</v>
      </c>
      <c r="L28" s="28">
        <v>4000</v>
      </c>
      <c r="M28" s="28">
        <v>3800</v>
      </c>
      <c r="N28" s="28">
        <v>1000</v>
      </c>
      <c r="O28" s="28">
        <v>389357</v>
      </c>
      <c r="P28" s="28">
        <v>367097</v>
      </c>
      <c r="Q28" s="31">
        <v>206045</v>
      </c>
    </row>
    <row r="29" spans="3:17" s="22" customFormat="1" ht="24" customHeight="1" x14ac:dyDescent="0.25">
      <c r="C29" s="68" t="s">
        <v>42</v>
      </c>
      <c r="D29" s="69" t="s">
        <v>43</v>
      </c>
      <c r="E29" s="70">
        <v>10120</v>
      </c>
      <c r="F29" s="71">
        <v>9648</v>
      </c>
      <c r="G29" s="72">
        <f>F29/E29*100</f>
        <v>95.335968379446641</v>
      </c>
      <c r="H29" s="72">
        <f>(F29+198)/E29*100</f>
        <v>97.292490118577078</v>
      </c>
      <c r="I29" s="73">
        <v>9132</v>
      </c>
      <c r="J29" s="72">
        <f>I29/F29*100</f>
        <v>94.651741293532339</v>
      </c>
      <c r="K29" s="74">
        <v>17.36</v>
      </c>
      <c r="L29" s="73">
        <v>900</v>
      </c>
      <c r="M29" s="73">
        <v>910</v>
      </c>
      <c r="N29" s="73">
        <v>0</v>
      </c>
      <c r="O29" s="73">
        <v>295549</v>
      </c>
      <c r="P29" s="73">
        <v>295549</v>
      </c>
      <c r="Q29" s="75">
        <v>265811</v>
      </c>
    </row>
    <row r="30" spans="3:17" s="22" customFormat="1" ht="15" x14ac:dyDescent="0.25">
      <c r="C30" s="68"/>
      <c r="D30" s="69"/>
      <c r="E30" s="70"/>
      <c r="F30" s="71"/>
      <c r="G30" s="72"/>
      <c r="H30" s="72"/>
      <c r="I30" s="73"/>
      <c r="J30" s="72"/>
      <c r="K30" s="74"/>
      <c r="L30" s="73"/>
      <c r="M30" s="73"/>
      <c r="N30" s="73"/>
      <c r="O30" s="73"/>
      <c r="P30" s="73"/>
      <c r="Q30" s="75"/>
    </row>
    <row r="31" spans="3:17" s="22" customFormat="1" ht="15" x14ac:dyDescent="0.25">
      <c r="C31" s="23" t="s">
        <v>44</v>
      </c>
      <c r="D31" s="38" t="s">
        <v>45</v>
      </c>
      <c r="E31" s="25">
        <v>74637</v>
      </c>
      <c r="F31" s="26">
        <v>74570</v>
      </c>
      <c r="G31" s="27">
        <f>F31/E31*100</f>
        <v>99.910232190468534</v>
      </c>
      <c r="H31" s="27">
        <f>(F31+0)/E31*100</f>
        <v>99.910232190468534</v>
      </c>
      <c r="I31" s="28">
        <v>74500</v>
      </c>
      <c r="J31" s="29">
        <f>I31/F31*100</f>
        <v>99.906128469894057</v>
      </c>
      <c r="K31" s="30">
        <v>15</v>
      </c>
      <c r="L31" s="28">
        <v>26700</v>
      </c>
      <c r="M31" s="28">
        <v>32880</v>
      </c>
      <c r="N31" s="28">
        <v>20000</v>
      </c>
      <c r="O31" s="28">
        <v>3263878</v>
      </c>
      <c r="P31" s="28">
        <v>3213410</v>
      </c>
      <c r="Q31" s="31">
        <v>769328</v>
      </c>
    </row>
    <row r="32" spans="3:17" s="22" customFormat="1" ht="27.6" customHeight="1" x14ac:dyDescent="0.25">
      <c r="C32" s="23" t="s">
        <v>46</v>
      </c>
      <c r="D32" s="38" t="s">
        <v>47</v>
      </c>
      <c r="E32" s="25">
        <v>7297</v>
      </c>
      <c r="F32" s="26">
        <v>7115</v>
      </c>
      <c r="G32" s="27">
        <f>F32/E32*100</f>
        <v>97.50582431136084</v>
      </c>
      <c r="H32" s="27">
        <f>(F32+'2_P'!T32)/E32*100</f>
        <v>98.519939701247083</v>
      </c>
      <c r="I32" s="28">
        <v>6599</v>
      </c>
      <c r="J32" s="29">
        <f>I32/F32*100</f>
        <v>92.747716092761763</v>
      </c>
      <c r="K32" s="30">
        <v>38</v>
      </c>
      <c r="L32" s="28">
        <v>1125</v>
      </c>
      <c r="M32" s="28">
        <v>1240</v>
      </c>
      <c r="N32" s="28">
        <v>520</v>
      </c>
      <c r="O32" s="28">
        <v>353736</v>
      </c>
      <c r="P32" s="28">
        <v>344894</v>
      </c>
      <c r="Q32" s="31">
        <v>189574</v>
      </c>
    </row>
    <row r="33" spans="3:17" s="22" customFormat="1" ht="15" x14ac:dyDescent="0.25">
      <c r="C33" s="68" t="s">
        <v>48</v>
      </c>
      <c r="D33" s="69" t="s">
        <v>49</v>
      </c>
      <c r="E33" s="70">
        <v>8071</v>
      </c>
      <c r="F33" s="71">
        <v>8071</v>
      </c>
      <c r="G33" s="72">
        <f>F33/E33*100</f>
        <v>100</v>
      </c>
      <c r="H33" s="72">
        <f>(F33+0)/E33*100</f>
        <v>100</v>
      </c>
      <c r="I33" s="73">
        <v>7578</v>
      </c>
      <c r="J33" s="72">
        <f>I33/F33*100</f>
        <v>93.891711064304289</v>
      </c>
      <c r="K33" s="74">
        <v>10.7</v>
      </c>
      <c r="L33" s="73">
        <v>6120</v>
      </c>
      <c r="M33" s="73">
        <v>5184</v>
      </c>
      <c r="N33" s="73">
        <v>700</v>
      </c>
      <c r="O33" s="73">
        <v>297101</v>
      </c>
      <c r="P33" s="73">
        <v>286787</v>
      </c>
      <c r="Q33" s="75">
        <v>153208</v>
      </c>
    </row>
    <row r="34" spans="3:17" s="22" customFormat="1" ht="15" x14ac:dyDescent="0.25">
      <c r="C34" s="68"/>
      <c r="D34" s="69"/>
      <c r="E34" s="70"/>
      <c r="F34" s="71"/>
      <c r="G34" s="72"/>
      <c r="H34" s="72"/>
      <c r="I34" s="73"/>
      <c r="J34" s="72"/>
      <c r="K34" s="74"/>
      <c r="L34" s="73"/>
      <c r="M34" s="73"/>
      <c r="N34" s="73"/>
      <c r="O34" s="73"/>
      <c r="P34" s="73"/>
      <c r="Q34" s="75"/>
    </row>
    <row r="35" spans="3:17" s="22" customFormat="1" ht="15" x14ac:dyDescent="0.25">
      <c r="C35" s="23" t="s">
        <v>50</v>
      </c>
      <c r="D35" s="38" t="s">
        <v>51</v>
      </c>
      <c r="E35" s="25">
        <v>18964</v>
      </c>
      <c r="F35" s="26">
        <v>17674</v>
      </c>
      <c r="G35" s="27">
        <f t="shared" ref="G35:G45" si="0">F35/E35*100</f>
        <v>93.197637629192158</v>
      </c>
      <c r="H35" s="27">
        <f>(F35+'2_P'!T35)/E35*100</f>
        <v>94.225901708500317</v>
      </c>
      <c r="I35" s="28">
        <v>16342</v>
      </c>
      <c r="J35" s="29">
        <f t="shared" ref="J35:J45" si="1">I35/F35*100</f>
        <v>92.463505714609028</v>
      </c>
      <c r="K35" s="30">
        <v>12</v>
      </c>
      <c r="L35" s="28">
        <v>9418</v>
      </c>
      <c r="M35" s="28">
        <v>6996</v>
      </c>
      <c r="N35" s="28">
        <v>2400</v>
      </c>
      <c r="O35" s="28">
        <v>1027357</v>
      </c>
      <c r="P35" s="28">
        <v>1027357</v>
      </c>
      <c r="Q35" s="31">
        <v>691528</v>
      </c>
    </row>
    <row r="36" spans="3:17" s="22" customFormat="1" ht="15" x14ac:dyDescent="0.25">
      <c r="C36" s="23" t="s">
        <v>52</v>
      </c>
      <c r="D36" s="38" t="s">
        <v>53</v>
      </c>
      <c r="E36" s="25">
        <v>21608</v>
      </c>
      <c r="F36" s="26">
        <v>20830</v>
      </c>
      <c r="G36" s="27">
        <f t="shared" si="0"/>
        <v>96.399481673454275</v>
      </c>
      <c r="H36" s="27">
        <f>(F36+'2_P'!T36)/E36*100</f>
        <v>96.399481673454275</v>
      </c>
      <c r="I36" s="28">
        <v>18455</v>
      </c>
      <c r="J36" s="29">
        <f t="shared" si="1"/>
        <v>88.598175708113303</v>
      </c>
      <c r="K36" s="30">
        <v>23.5</v>
      </c>
      <c r="L36" s="39">
        <v>4500</v>
      </c>
      <c r="M36" s="39">
        <v>6500</v>
      </c>
      <c r="N36" s="28">
        <v>0</v>
      </c>
      <c r="O36" s="28">
        <v>982483</v>
      </c>
      <c r="P36" s="28">
        <v>1004000</v>
      </c>
      <c r="Q36" s="31">
        <v>538711</v>
      </c>
    </row>
    <row r="37" spans="3:17" s="22" customFormat="1" ht="15" x14ac:dyDescent="0.25">
      <c r="C37" s="23" t="s">
        <v>54</v>
      </c>
      <c r="D37" s="38" t="s">
        <v>55</v>
      </c>
      <c r="E37" s="25">
        <v>10594</v>
      </c>
      <c r="F37" s="26">
        <v>10594</v>
      </c>
      <c r="G37" s="27">
        <f t="shared" si="0"/>
        <v>100</v>
      </c>
      <c r="H37" s="27">
        <f>(F37+'2_P'!T37)/E37*100</f>
        <v>100</v>
      </c>
      <c r="I37" s="28">
        <v>10594</v>
      </c>
      <c r="J37" s="29">
        <f t="shared" si="1"/>
        <v>100</v>
      </c>
      <c r="K37" s="30">
        <v>1.2</v>
      </c>
      <c r="L37" s="28">
        <v>6000</v>
      </c>
      <c r="M37" s="28">
        <v>3000</v>
      </c>
      <c r="N37" s="28">
        <v>3000</v>
      </c>
      <c r="O37" s="28">
        <v>826955</v>
      </c>
      <c r="P37" s="28">
        <v>649992</v>
      </c>
      <c r="Q37" s="31">
        <v>920800</v>
      </c>
    </row>
    <row r="38" spans="3:17" s="22" customFormat="1" ht="15" x14ac:dyDescent="0.25">
      <c r="C38" s="23" t="s">
        <v>56</v>
      </c>
      <c r="D38" s="38" t="s">
        <v>57</v>
      </c>
      <c r="E38" s="25">
        <v>29592</v>
      </c>
      <c r="F38" s="26">
        <v>29264</v>
      </c>
      <c r="G38" s="27">
        <f t="shared" si="0"/>
        <v>98.891592322249252</v>
      </c>
      <c r="H38" s="27">
        <f>(F38+'2_P'!T38)/E38*100</f>
        <v>98.891592322249252</v>
      </c>
      <c r="I38" s="28">
        <v>29442</v>
      </c>
      <c r="J38" s="29">
        <f t="shared" si="1"/>
        <v>100.60825587752871</v>
      </c>
      <c r="K38" s="30">
        <v>33</v>
      </c>
      <c r="L38" s="28">
        <v>8670</v>
      </c>
      <c r="M38" s="28">
        <v>8670</v>
      </c>
      <c r="N38" s="28">
        <v>2200</v>
      </c>
      <c r="O38" s="28" t="s">
        <v>25</v>
      </c>
      <c r="P38" s="28" t="s">
        <v>25</v>
      </c>
      <c r="Q38" s="31">
        <v>1041307</v>
      </c>
    </row>
    <row r="39" spans="3:17" s="22" customFormat="1" ht="15" x14ac:dyDescent="0.25">
      <c r="C39" s="23">
        <v>20</v>
      </c>
      <c r="D39" s="38" t="s">
        <v>58</v>
      </c>
      <c r="E39" s="25">
        <v>19642</v>
      </c>
      <c r="F39" s="26">
        <v>18995</v>
      </c>
      <c r="G39" s="27">
        <f t="shared" si="0"/>
        <v>96.706038081661745</v>
      </c>
      <c r="H39" s="27">
        <f>(F39+'2_P'!T39)/E39*100</f>
        <v>97.836269219020465</v>
      </c>
      <c r="I39" s="28">
        <v>18492</v>
      </c>
      <c r="J39" s="29">
        <f t="shared" si="1"/>
        <v>97.351934719663063</v>
      </c>
      <c r="K39" s="30">
        <v>10.7</v>
      </c>
      <c r="L39" s="28">
        <v>11733</v>
      </c>
      <c r="M39" s="28">
        <v>8400</v>
      </c>
      <c r="N39" s="28">
        <v>2786</v>
      </c>
      <c r="O39" s="28">
        <v>765844</v>
      </c>
      <c r="P39" s="28">
        <v>739530</v>
      </c>
      <c r="Q39" s="31">
        <v>449543</v>
      </c>
    </row>
    <row r="40" spans="3:17" s="22" customFormat="1" ht="15" x14ac:dyDescent="0.25">
      <c r="C40" s="23">
        <v>21</v>
      </c>
      <c r="D40" s="38" t="s">
        <v>59</v>
      </c>
      <c r="E40" s="25">
        <v>11205</v>
      </c>
      <c r="F40" s="26">
        <v>11173</v>
      </c>
      <c r="G40" s="27">
        <f t="shared" si="0"/>
        <v>99.714413208389104</v>
      </c>
      <c r="H40" s="27">
        <f>(F40+'2_P'!T40)/E40*100</f>
        <v>99.714413208389104</v>
      </c>
      <c r="I40" s="28">
        <v>10405</v>
      </c>
      <c r="J40" s="29">
        <f t="shared" si="1"/>
        <v>93.126286583728628</v>
      </c>
      <c r="K40" s="30">
        <v>18</v>
      </c>
      <c r="L40" s="28">
        <v>3370</v>
      </c>
      <c r="M40" s="28">
        <v>5500</v>
      </c>
      <c r="N40" s="28">
        <v>1200</v>
      </c>
      <c r="O40" s="28">
        <v>438077</v>
      </c>
      <c r="P40" s="28">
        <f>364.44*365</f>
        <v>133020.6</v>
      </c>
      <c r="Q40" s="31">
        <v>213861</v>
      </c>
    </row>
    <row r="41" spans="3:17" s="22" customFormat="1" ht="15" x14ac:dyDescent="0.25">
      <c r="C41" s="23">
        <v>22</v>
      </c>
      <c r="D41" s="38" t="s">
        <v>60</v>
      </c>
      <c r="E41" s="25">
        <v>14292</v>
      </c>
      <c r="F41" s="26">
        <v>13666</v>
      </c>
      <c r="G41" s="27">
        <f t="shared" si="0"/>
        <v>95.619927232017915</v>
      </c>
      <c r="H41" s="27">
        <f>(F41+'2_P'!T41)/E41*100</f>
        <v>98.761544920235096</v>
      </c>
      <c r="I41" s="28">
        <v>12287</v>
      </c>
      <c r="J41" s="29">
        <f t="shared" si="1"/>
        <v>89.909263866530083</v>
      </c>
      <c r="K41" s="30">
        <v>16</v>
      </c>
      <c r="L41" s="28">
        <f>223*20</f>
        <v>4460</v>
      </c>
      <c r="M41" s="28">
        <v>2800</v>
      </c>
      <c r="N41" s="28">
        <v>2800</v>
      </c>
      <c r="O41" s="28">
        <v>564401</v>
      </c>
      <c r="P41" s="28">
        <v>585500</v>
      </c>
      <c r="Q41" s="31">
        <v>409981</v>
      </c>
    </row>
    <row r="42" spans="3:17" s="22" customFormat="1" ht="15" x14ac:dyDescent="0.25">
      <c r="C42" s="23">
        <v>23</v>
      </c>
      <c r="D42" s="38" t="s">
        <v>61</v>
      </c>
      <c r="E42" s="25">
        <v>9620</v>
      </c>
      <c r="F42" s="26">
        <v>9620</v>
      </c>
      <c r="G42" s="27">
        <f t="shared" si="0"/>
        <v>100</v>
      </c>
      <c r="H42" s="27">
        <f>(F42+'2_P'!T42)/E42*100</f>
        <v>100</v>
      </c>
      <c r="I42" s="28">
        <v>9572</v>
      </c>
      <c r="J42" s="29">
        <f t="shared" si="1"/>
        <v>99.5010395010395</v>
      </c>
      <c r="K42" s="30">
        <v>27</v>
      </c>
      <c r="L42" s="28">
        <v>2780</v>
      </c>
      <c r="M42" s="28">
        <v>3840</v>
      </c>
      <c r="N42" s="28">
        <v>1000</v>
      </c>
      <c r="O42" s="28">
        <v>474529</v>
      </c>
      <c r="P42" s="28">
        <v>568294</v>
      </c>
      <c r="Q42" s="31">
        <v>248004</v>
      </c>
    </row>
    <row r="43" spans="3:17" s="22" customFormat="1" ht="15" x14ac:dyDescent="0.25">
      <c r="C43" s="23">
        <v>24</v>
      </c>
      <c r="D43" s="38" t="s">
        <v>62</v>
      </c>
      <c r="E43" s="25">
        <v>18102</v>
      </c>
      <c r="F43" s="26">
        <v>17957</v>
      </c>
      <c r="G43" s="27">
        <f t="shared" si="0"/>
        <v>99.198983537730641</v>
      </c>
      <c r="H43" s="27">
        <f>(F43+'2_P'!T43)/E43*100</f>
        <v>99.585681140205509</v>
      </c>
      <c r="I43" s="28">
        <v>15661</v>
      </c>
      <c r="J43" s="29">
        <f t="shared" si="1"/>
        <v>87.21389987191624</v>
      </c>
      <c r="K43" s="30">
        <v>20</v>
      </c>
      <c r="L43" s="28">
        <v>4067</v>
      </c>
      <c r="M43" s="28">
        <v>4900</v>
      </c>
      <c r="N43" s="28">
        <v>2160</v>
      </c>
      <c r="O43" s="28">
        <v>757937</v>
      </c>
      <c r="P43" s="28" t="s">
        <v>25</v>
      </c>
      <c r="Q43" s="31">
        <v>655238</v>
      </c>
    </row>
    <row r="44" spans="3:17" s="22" customFormat="1" ht="40.700000000000003" customHeight="1" x14ac:dyDescent="0.25">
      <c r="C44" s="23">
        <v>25</v>
      </c>
      <c r="D44" s="38" t="s">
        <v>63</v>
      </c>
      <c r="E44" s="25">
        <v>25802</v>
      </c>
      <c r="F44" s="26">
        <v>25709</v>
      </c>
      <c r="G44" s="27">
        <f t="shared" si="0"/>
        <v>99.639562824587244</v>
      </c>
      <c r="H44" s="27">
        <f>(F44+'2_P'!T44)/E44*100</f>
        <v>99.810092240911558</v>
      </c>
      <c r="I44" s="28">
        <v>24334</v>
      </c>
      <c r="J44" s="29">
        <f t="shared" si="1"/>
        <v>94.651678400560115</v>
      </c>
      <c r="K44" s="30">
        <v>9</v>
      </c>
      <c r="L44" s="28">
        <f>275*20</f>
        <v>5500</v>
      </c>
      <c r="M44" s="28">
        <v>5500</v>
      </c>
      <c r="N44" s="28">
        <v>4000</v>
      </c>
      <c r="O44" s="28">
        <v>1014092</v>
      </c>
      <c r="P44" s="28">
        <v>1014092</v>
      </c>
      <c r="Q44" s="31">
        <v>666364</v>
      </c>
    </row>
    <row r="45" spans="3:17" s="22" customFormat="1" ht="15" x14ac:dyDescent="0.25">
      <c r="C45" s="23">
        <v>26</v>
      </c>
      <c r="D45" s="38" t="s">
        <v>64</v>
      </c>
      <c r="E45" s="25">
        <v>37656</v>
      </c>
      <c r="F45" s="26">
        <v>37091</v>
      </c>
      <c r="G45" s="27">
        <f t="shared" si="0"/>
        <v>98.499575100913532</v>
      </c>
      <c r="H45" s="27">
        <f>(F45+'2_P'!T45)/E45*100</f>
        <v>98.499575100913532</v>
      </c>
      <c r="I45" s="28">
        <v>36376</v>
      </c>
      <c r="J45" s="29">
        <f t="shared" si="1"/>
        <v>98.072308646302346</v>
      </c>
      <c r="K45" s="30">
        <v>9</v>
      </c>
      <c r="L45" s="28">
        <v>21744</v>
      </c>
      <c r="M45" s="28">
        <v>835</v>
      </c>
      <c r="N45" s="28">
        <v>6000</v>
      </c>
      <c r="O45" s="28">
        <v>2336297</v>
      </c>
      <c r="P45" s="28">
        <v>2268891</v>
      </c>
      <c r="Q45" s="31">
        <v>1335912</v>
      </c>
    </row>
    <row r="46" spans="3:17" ht="15" x14ac:dyDescent="0.25">
      <c r="C46" s="13"/>
      <c r="D46" s="40" t="s">
        <v>65</v>
      </c>
      <c r="E46" s="41"/>
      <c r="F46" s="41"/>
      <c r="G46" s="42"/>
      <c r="H46" s="42"/>
      <c r="I46" s="41"/>
      <c r="J46" s="42"/>
      <c r="K46" s="42"/>
      <c r="L46" s="36"/>
      <c r="M46" s="36"/>
      <c r="N46" s="36"/>
      <c r="O46" s="36"/>
      <c r="P46" s="36"/>
      <c r="Q46" s="37"/>
    </row>
    <row r="47" spans="3:17" ht="15" x14ac:dyDescent="0.25">
      <c r="C47" s="43">
        <v>27</v>
      </c>
      <c r="D47" s="44" t="s">
        <v>66</v>
      </c>
      <c r="E47" s="45">
        <v>7421</v>
      </c>
      <c r="F47" s="46">
        <v>7697</v>
      </c>
      <c r="G47" s="47">
        <f t="shared" ref="G47:G76" si="2">F47/E47*100</f>
        <v>103.7191753133001</v>
      </c>
      <c r="H47" s="47">
        <f>(F47+'2_P'!T47)/E47*100</f>
        <v>103.7191753133001</v>
      </c>
      <c r="I47" s="48">
        <v>7626</v>
      </c>
      <c r="J47" s="49">
        <f t="shared" ref="J47:J76" si="3">I47/F47*100</f>
        <v>99.077562686761084</v>
      </c>
      <c r="K47" s="30">
        <v>18</v>
      </c>
      <c r="L47" s="48">
        <v>3600</v>
      </c>
      <c r="M47" s="48">
        <v>3200</v>
      </c>
      <c r="N47" s="48">
        <v>1000</v>
      </c>
      <c r="O47" s="48">
        <v>750672</v>
      </c>
      <c r="P47" s="48">
        <v>296545</v>
      </c>
      <c r="Q47" s="50">
        <v>548247</v>
      </c>
    </row>
    <row r="48" spans="3:17" s="22" customFormat="1" ht="15" x14ac:dyDescent="0.25">
      <c r="C48" s="23">
        <v>28</v>
      </c>
      <c r="D48" s="38" t="s">
        <v>67</v>
      </c>
      <c r="E48" s="25">
        <v>4304</v>
      </c>
      <c r="F48" s="26">
        <v>4170</v>
      </c>
      <c r="G48" s="27">
        <f t="shared" si="2"/>
        <v>96.886617100371751</v>
      </c>
      <c r="H48" s="47">
        <f>(F48+'2_P'!T48)/E48*100</f>
        <v>96.886617100371751</v>
      </c>
      <c r="I48" s="28">
        <v>3948</v>
      </c>
      <c r="J48" s="29">
        <f t="shared" si="3"/>
        <v>94.676258992805757</v>
      </c>
      <c r="K48" s="30">
        <v>17</v>
      </c>
      <c r="L48" s="28">
        <v>2340</v>
      </c>
      <c r="M48" s="28">
        <v>1400</v>
      </c>
      <c r="N48" s="28">
        <v>490</v>
      </c>
      <c r="O48" s="28">
        <v>131030</v>
      </c>
      <c r="P48" s="28">
        <v>127072</v>
      </c>
      <c r="Q48" s="31">
        <v>741570</v>
      </c>
    </row>
    <row r="49" spans="3:17" s="22" customFormat="1" ht="15" x14ac:dyDescent="0.25">
      <c r="C49" s="23">
        <v>29</v>
      </c>
      <c r="D49" s="38" t="s">
        <v>68</v>
      </c>
      <c r="E49" s="25">
        <v>7145</v>
      </c>
      <c r="F49" s="26">
        <v>6963</v>
      </c>
      <c r="G49" s="27">
        <f t="shared" si="2"/>
        <v>97.452764170748779</v>
      </c>
      <c r="H49" s="47">
        <f>(F49+'2_P'!T49)/E49*100</f>
        <v>100</v>
      </c>
      <c r="I49" s="28">
        <v>6213</v>
      </c>
      <c r="J49" s="29">
        <f t="shared" si="3"/>
        <v>89.228780697975012</v>
      </c>
      <c r="K49" s="30">
        <v>0</v>
      </c>
      <c r="L49" s="28">
        <v>1728</v>
      </c>
      <c r="M49" s="28">
        <v>1747</v>
      </c>
      <c r="N49" s="28">
        <v>445</v>
      </c>
      <c r="O49" s="28">
        <v>214113</v>
      </c>
      <c r="P49" s="28">
        <v>197122</v>
      </c>
      <c r="Q49" s="31">
        <v>163997</v>
      </c>
    </row>
    <row r="50" spans="3:17" s="22" customFormat="1" ht="15" x14ac:dyDescent="0.25">
      <c r="C50" s="23">
        <v>30</v>
      </c>
      <c r="D50" s="38" t="s">
        <v>69</v>
      </c>
      <c r="E50" s="25">
        <v>3292</v>
      </c>
      <c r="F50" s="26">
        <v>2433</v>
      </c>
      <c r="G50" s="27">
        <f t="shared" si="2"/>
        <v>73.906439854191987</v>
      </c>
      <c r="H50" s="47">
        <f>(F50+'2_P'!T50)/E50*100</f>
        <v>84.204131227217488</v>
      </c>
      <c r="I50" s="28">
        <v>2098</v>
      </c>
      <c r="J50" s="29">
        <f t="shared" si="3"/>
        <v>86.230990546650219</v>
      </c>
      <c r="K50" s="30">
        <v>25.9</v>
      </c>
      <c r="L50" s="28">
        <v>18360</v>
      </c>
      <c r="M50" s="28">
        <v>798</v>
      </c>
      <c r="N50" s="28">
        <v>0</v>
      </c>
      <c r="O50" s="28">
        <v>125691</v>
      </c>
      <c r="P50" s="28">
        <v>48904</v>
      </c>
      <c r="Q50" s="31">
        <v>99822</v>
      </c>
    </row>
    <row r="51" spans="3:17" s="22" customFormat="1" ht="15" x14ac:dyDescent="0.25">
      <c r="C51" s="23">
        <v>31</v>
      </c>
      <c r="D51" s="38" t="s">
        <v>70</v>
      </c>
      <c r="E51" s="25">
        <v>9813</v>
      </c>
      <c r="F51" s="26">
        <v>8474</v>
      </c>
      <c r="G51" s="27">
        <f t="shared" si="2"/>
        <v>86.35483542239885</v>
      </c>
      <c r="H51" s="47">
        <f>(F51+'2_P'!T51)/E51*100</f>
        <v>100</v>
      </c>
      <c r="I51" s="28">
        <v>6465</v>
      </c>
      <c r="J51" s="29">
        <f t="shared" si="3"/>
        <v>76.292187868775073</v>
      </c>
      <c r="K51" s="30">
        <v>11</v>
      </c>
      <c r="L51" s="28">
        <v>2000</v>
      </c>
      <c r="M51" s="28">
        <v>2100</v>
      </c>
      <c r="N51" s="28">
        <v>900</v>
      </c>
      <c r="O51" s="28">
        <f>1800*365</f>
        <v>657000</v>
      </c>
      <c r="P51" s="28">
        <v>349958</v>
      </c>
      <c r="Q51" s="31">
        <v>23085</v>
      </c>
    </row>
    <row r="52" spans="3:17" s="22" customFormat="1" ht="15" x14ac:dyDescent="0.25">
      <c r="C52" s="23">
        <v>32</v>
      </c>
      <c r="D52" s="38" t="s">
        <v>71</v>
      </c>
      <c r="E52" s="25">
        <v>6002</v>
      </c>
      <c r="F52" s="26">
        <v>5219</v>
      </c>
      <c r="G52" s="27">
        <f t="shared" si="2"/>
        <v>86.954348550483175</v>
      </c>
      <c r="H52" s="47">
        <f>(F52+'2_P'!T52)/E52*100</f>
        <v>89.953348883705431</v>
      </c>
      <c r="I52" s="28">
        <v>4980</v>
      </c>
      <c r="J52" s="29">
        <f t="shared" si="3"/>
        <v>95.420578654914735</v>
      </c>
      <c r="K52" s="30">
        <v>14</v>
      </c>
      <c r="L52" s="28">
        <f>92*20</f>
        <v>1840</v>
      </c>
      <c r="M52" s="28">
        <v>1840</v>
      </c>
      <c r="N52" s="28">
        <v>1220</v>
      </c>
      <c r="O52" s="28">
        <v>272191</v>
      </c>
      <c r="P52" s="28">
        <v>254622</v>
      </c>
      <c r="Q52" s="31">
        <v>136825</v>
      </c>
    </row>
    <row r="53" spans="3:17" s="22" customFormat="1" ht="15" x14ac:dyDescent="0.25">
      <c r="C53" s="23">
        <v>33</v>
      </c>
      <c r="D53" s="38" t="s">
        <v>72</v>
      </c>
      <c r="E53" s="25">
        <v>5513</v>
      </c>
      <c r="F53" s="26">
        <v>5513</v>
      </c>
      <c r="G53" s="27">
        <f t="shared" si="2"/>
        <v>100</v>
      </c>
      <c r="H53" s="47">
        <f>(F53+'2_P'!T53)/E53*100</f>
        <v>100</v>
      </c>
      <c r="I53" s="28">
        <v>5397</v>
      </c>
      <c r="J53" s="29">
        <f t="shared" si="3"/>
        <v>97.895882459640845</v>
      </c>
      <c r="K53" s="30">
        <v>19</v>
      </c>
      <c r="L53" s="28">
        <v>1500</v>
      </c>
      <c r="M53" s="28">
        <v>1500</v>
      </c>
      <c r="N53" s="28">
        <v>1500</v>
      </c>
      <c r="O53" s="28">
        <v>320000</v>
      </c>
      <c r="P53" s="28">
        <v>320000</v>
      </c>
      <c r="Q53" s="31">
        <v>263208</v>
      </c>
    </row>
    <row r="54" spans="3:17" s="22" customFormat="1" ht="15" x14ac:dyDescent="0.25">
      <c r="C54" s="23">
        <v>34</v>
      </c>
      <c r="D54" s="38" t="s">
        <v>73</v>
      </c>
      <c r="E54" s="25">
        <v>1470</v>
      </c>
      <c r="F54" s="26">
        <v>1320</v>
      </c>
      <c r="G54" s="27">
        <f t="shared" si="2"/>
        <v>89.795918367346943</v>
      </c>
      <c r="H54" s="47">
        <f>(F54+'2_P'!T54)/E54*100</f>
        <v>89.795918367346943</v>
      </c>
      <c r="I54" s="28">
        <v>1120</v>
      </c>
      <c r="J54" s="29">
        <f t="shared" si="3"/>
        <v>84.848484848484844</v>
      </c>
      <c r="K54" s="30">
        <v>20</v>
      </c>
      <c r="L54" s="28">
        <v>100</v>
      </c>
      <c r="M54" s="28">
        <v>100</v>
      </c>
      <c r="N54" s="28">
        <v>40</v>
      </c>
      <c r="O54" s="28">
        <v>75</v>
      </c>
      <c r="P54" s="28" t="s">
        <v>25</v>
      </c>
      <c r="Q54" s="31" t="s">
        <v>25</v>
      </c>
    </row>
    <row r="55" spans="3:17" s="22" customFormat="1" ht="15" x14ac:dyDescent="0.25">
      <c r="C55" s="23">
        <v>35</v>
      </c>
      <c r="D55" s="38" t="s">
        <v>74</v>
      </c>
      <c r="E55" s="25">
        <v>6486</v>
      </c>
      <c r="F55" s="26">
        <v>6094</v>
      </c>
      <c r="G55" s="27">
        <f t="shared" si="2"/>
        <v>93.956213382670356</v>
      </c>
      <c r="H55" s="47">
        <f>(F55+'2_P'!T55)/E55*100</f>
        <v>98.627813752698117</v>
      </c>
      <c r="I55" s="28">
        <v>5737</v>
      </c>
      <c r="J55" s="29">
        <f t="shared" si="3"/>
        <v>94.141778798818507</v>
      </c>
      <c r="K55" s="30">
        <v>27</v>
      </c>
      <c r="L55" s="28">
        <v>1245</v>
      </c>
      <c r="M55" s="28" t="s">
        <v>25</v>
      </c>
      <c r="N55" s="28">
        <v>700</v>
      </c>
      <c r="O55" s="28">
        <v>233160</v>
      </c>
      <c r="P55" s="28">
        <v>233160</v>
      </c>
      <c r="Q55" s="31">
        <v>139369</v>
      </c>
    </row>
    <row r="56" spans="3:17" s="22" customFormat="1" ht="15" x14ac:dyDescent="0.25">
      <c r="C56" s="23">
        <v>36</v>
      </c>
      <c r="D56" s="38" t="s">
        <v>75</v>
      </c>
      <c r="E56" s="25">
        <v>2966</v>
      </c>
      <c r="F56" s="26">
        <v>2966</v>
      </c>
      <c r="G56" s="27">
        <f t="shared" si="2"/>
        <v>100</v>
      </c>
      <c r="H56" s="47">
        <f>(F56+'2_P'!T56)/E56*100</f>
        <v>100</v>
      </c>
      <c r="I56" s="28">
        <v>2966</v>
      </c>
      <c r="J56" s="29">
        <f t="shared" si="3"/>
        <v>100</v>
      </c>
      <c r="K56" s="30">
        <v>13</v>
      </c>
      <c r="L56" s="28">
        <v>384</v>
      </c>
      <c r="M56" s="28">
        <v>1248</v>
      </c>
      <c r="N56" s="28">
        <v>400</v>
      </c>
      <c r="O56" s="28">
        <v>117413</v>
      </c>
      <c r="P56" s="28">
        <v>703878</v>
      </c>
      <c r="Q56" s="31">
        <v>31107</v>
      </c>
    </row>
    <row r="57" spans="3:17" s="22" customFormat="1" ht="15" customHeight="1" x14ac:dyDescent="0.25">
      <c r="C57" s="23">
        <v>37</v>
      </c>
      <c r="D57" s="38" t="s">
        <v>76</v>
      </c>
      <c r="E57" s="25">
        <v>3736</v>
      </c>
      <c r="F57" s="26">
        <v>3736</v>
      </c>
      <c r="G57" s="27">
        <f t="shared" si="2"/>
        <v>100</v>
      </c>
      <c r="H57" s="47">
        <f>(F57+'2_P'!T57)/E57*100</f>
        <v>100</v>
      </c>
      <c r="I57" s="28">
        <v>3153</v>
      </c>
      <c r="J57" s="29">
        <f t="shared" si="3"/>
        <v>84.395074946466806</v>
      </c>
      <c r="K57" s="30">
        <v>22</v>
      </c>
      <c r="L57" s="28">
        <v>810</v>
      </c>
      <c r="M57" s="28">
        <v>0</v>
      </c>
      <c r="N57" s="28">
        <v>500</v>
      </c>
      <c r="O57" s="28">
        <v>156113</v>
      </c>
      <c r="P57" s="28">
        <v>156113</v>
      </c>
      <c r="Q57" s="31">
        <v>63308</v>
      </c>
    </row>
    <row r="58" spans="3:17" s="22" customFormat="1" ht="15" x14ac:dyDescent="0.25">
      <c r="C58" s="23">
        <v>38</v>
      </c>
      <c r="D58" s="38" t="s">
        <v>77</v>
      </c>
      <c r="E58" s="25">
        <v>2030</v>
      </c>
      <c r="F58" s="26">
        <v>1959</v>
      </c>
      <c r="G58" s="27">
        <f t="shared" si="2"/>
        <v>96.502463054187189</v>
      </c>
      <c r="H58" s="47">
        <f>(F58+'2_P'!T58)/E58*100</f>
        <v>100</v>
      </c>
      <c r="I58" s="28" t="s">
        <v>25</v>
      </c>
      <c r="J58" s="29" t="e">
        <f t="shared" si="3"/>
        <v>#VALUE!</v>
      </c>
      <c r="K58" s="30">
        <v>32</v>
      </c>
      <c r="L58" s="28">
        <v>800</v>
      </c>
      <c r="M58" s="28">
        <v>540</v>
      </c>
      <c r="N58" s="28">
        <v>540</v>
      </c>
      <c r="O58" s="28">
        <v>65190</v>
      </c>
      <c r="P58" s="28">
        <v>52868</v>
      </c>
      <c r="Q58" s="31">
        <v>52569</v>
      </c>
    </row>
    <row r="59" spans="3:17" s="22" customFormat="1" ht="15" x14ac:dyDescent="0.25">
      <c r="C59" s="23">
        <v>39</v>
      </c>
      <c r="D59" s="38" t="s">
        <v>78</v>
      </c>
      <c r="E59" s="25">
        <v>1393</v>
      </c>
      <c r="F59" s="26" t="s">
        <v>25</v>
      </c>
      <c r="G59" s="27" t="e">
        <f t="shared" si="2"/>
        <v>#VALUE!</v>
      </c>
      <c r="H59" s="47" t="e">
        <f>(F59+'2_P'!T59)/E59*100</f>
        <v>#VALUE!</v>
      </c>
      <c r="I59" s="28" t="s">
        <v>25</v>
      </c>
      <c r="J59" s="29" t="e">
        <f t="shared" si="3"/>
        <v>#VALUE!</v>
      </c>
      <c r="K59" s="30" t="s">
        <v>25</v>
      </c>
      <c r="L59" s="28" t="s">
        <v>25</v>
      </c>
      <c r="M59" s="28">
        <v>200</v>
      </c>
      <c r="N59" s="28">
        <v>360</v>
      </c>
      <c r="O59" s="28" t="s">
        <v>25</v>
      </c>
      <c r="P59" s="28" t="s">
        <v>25</v>
      </c>
      <c r="Q59" s="31" t="s">
        <v>25</v>
      </c>
    </row>
    <row r="60" spans="3:17" s="22" customFormat="1" ht="15" x14ac:dyDescent="0.25">
      <c r="C60" s="23">
        <v>40</v>
      </c>
      <c r="D60" s="38" t="s">
        <v>79</v>
      </c>
      <c r="E60" s="25">
        <v>1739</v>
      </c>
      <c r="F60" s="26">
        <v>1603</v>
      </c>
      <c r="G60" s="27">
        <f t="shared" si="2"/>
        <v>92.1794134560092</v>
      </c>
      <c r="H60" s="47">
        <f>(F60+'2_P'!T60)/E60*100</f>
        <v>92.926969522714202</v>
      </c>
      <c r="I60" s="28">
        <v>1492</v>
      </c>
      <c r="J60" s="29">
        <f t="shared" si="3"/>
        <v>93.075483468496572</v>
      </c>
      <c r="K60" s="30">
        <v>36</v>
      </c>
      <c r="L60" s="28">
        <v>435</v>
      </c>
      <c r="M60" s="28">
        <v>435</v>
      </c>
      <c r="N60" s="28">
        <v>400</v>
      </c>
      <c r="O60" s="28">
        <v>57600</v>
      </c>
      <c r="P60" s="28">
        <v>57600</v>
      </c>
      <c r="Q60" s="31">
        <v>77523</v>
      </c>
    </row>
    <row r="61" spans="3:17" s="22" customFormat="1" ht="15" x14ac:dyDescent="0.25">
      <c r="C61" s="23">
        <v>41</v>
      </c>
      <c r="D61" s="38" t="s">
        <v>80</v>
      </c>
      <c r="E61" s="25">
        <v>4044</v>
      </c>
      <c r="F61" s="26">
        <v>4044</v>
      </c>
      <c r="G61" s="27">
        <f t="shared" si="2"/>
        <v>100</v>
      </c>
      <c r="H61" s="47">
        <f>(F61+'2_P'!T61)/E61*100</f>
        <v>100</v>
      </c>
      <c r="I61" s="28">
        <v>3997</v>
      </c>
      <c r="J61" s="29">
        <f t="shared" si="3"/>
        <v>98.837784371908995</v>
      </c>
      <c r="K61" s="30">
        <v>20</v>
      </c>
      <c r="L61" s="28">
        <v>983</v>
      </c>
      <c r="M61" s="28">
        <f>45*20</f>
        <v>900</v>
      </c>
      <c r="N61" s="28">
        <v>300</v>
      </c>
      <c r="O61" s="28">
        <v>164770</v>
      </c>
      <c r="P61" s="28">
        <v>158810</v>
      </c>
      <c r="Q61" s="31">
        <v>85008</v>
      </c>
    </row>
    <row r="62" spans="3:17" s="22" customFormat="1" ht="15" x14ac:dyDescent="0.25">
      <c r="C62" s="23">
        <v>42</v>
      </c>
      <c r="D62" s="38" t="s">
        <v>81</v>
      </c>
      <c r="E62" s="25">
        <v>5685</v>
      </c>
      <c r="F62" s="26">
        <v>3827</v>
      </c>
      <c r="G62" s="27">
        <f t="shared" si="2"/>
        <v>67.317502198768693</v>
      </c>
      <c r="H62" s="47">
        <f>(F62+'2_P'!T62)/E62*100</f>
        <v>67.317502198768693</v>
      </c>
      <c r="I62" s="28">
        <v>3659</v>
      </c>
      <c r="J62" s="29">
        <f t="shared" si="3"/>
        <v>95.610138489678604</v>
      </c>
      <c r="K62" s="30">
        <v>0</v>
      </c>
      <c r="L62" s="28">
        <v>2600</v>
      </c>
      <c r="M62" s="28">
        <v>1300</v>
      </c>
      <c r="N62" s="28">
        <v>520</v>
      </c>
      <c r="O62" s="28">
        <v>184715</v>
      </c>
      <c r="P62" s="28">
        <v>140497</v>
      </c>
      <c r="Q62" s="31">
        <v>91093</v>
      </c>
    </row>
    <row r="63" spans="3:17" s="22" customFormat="1" ht="15" x14ac:dyDescent="0.25">
      <c r="C63" s="23">
        <v>43</v>
      </c>
      <c r="D63" s="38" t="s">
        <v>82</v>
      </c>
      <c r="E63" s="25">
        <v>6116</v>
      </c>
      <c r="F63" s="26">
        <v>3460</v>
      </c>
      <c r="G63" s="27">
        <f t="shared" si="2"/>
        <v>56.572923479398298</v>
      </c>
      <c r="H63" s="47">
        <f>(F63+'2_P'!T63)/E63*100</f>
        <v>108.73119686069326</v>
      </c>
      <c r="I63" s="28">
        <v>2143</v>
      </c>
      <c r="J63" s="29">
        <f t="shared" si="3"/>
        <v>61.936416184971101</v>
      </c>
      <c r="K63" s="30">
        <v>32.880000000000003</v>
      </c>
      <c r="L63" s="28">
        <v>1728</v>
      </c>
      <c r="M63" s="28">
        <v>1086</v>
      </c>
      <c r="N63" s="28">
        <v>470</v>
      </c>
      <c r="O63" s="28">
        <v>187792</v>
      </c>
      <c r="P63" s="28">
        <v>182141</v>
      </c>
      <c r="Q63" s="31">
        <v>105657</v>
      </c>
    </row>
    <row r="64" spans="3:17" s="22" customFormat="1" ht="15" x14ac:dyDescent="0.25">
      <c r="C64" s="23">
        <v>44</v>
      </c>
      <c r="D64" s="38" t="s">
        <v>83</v>
      </c>
      <c r="E64" s="25">
        <v>2287</v>
      </c>
      <c r="F64" s="26">
        <v>2160</v>
      </c>
      <c r="G64" s="27">
        <f t="shared" si="2"/>
        <v>94.446873633581106</v>
      </c>
      <c r="H64" s="47">
        <f>(F64+'2_P'!T64)/E64*100</f>
        <v>100</v>
      </c>
      <c r="I64" s="28">
        <v>2097</v>
      </c>
      <c r="J64" s="29">
        <f t="shared" si="3"/>
        <v>97.083333333333329</v>
      </c>
      <c r="K64" s="30">
        <v>26.9</v>
      </c>
      <c r="L64" s="28">
        <v>388</v>
      </c>
      <c r="M64" s="28" t="s">
        <v>25</v>
      </c>
      <c r="N64" s="28" t="s">
        <v>25</v>
      </c>
      <c r="O64" s="28">
        <v>76141</v>
      </c>
      <c r="P64" s="28" t="s">
        <v>25</v>
      </c>
      <c r="Q64" s="31">
        <v>32779</v>
      </c>
    </row>
    <row r="65" spans="3:17" s="22" customFormat="1" ht="15" x14ac:dyDescent="0.25">
      <c r="C65" s="23">
        <v>45</v>
      </c>
      <c r="D65" s="38" t="s">
        <v>84</v>
      </c>
      <c r="E65" s="25">
        <v>1889</v>
      </c>
      <c r="F65" s="26">
        <v>1776</v>
      </c>
      <c r="G65" s="27">
        <f t="shared" si="2"/>
        <v>94.017998941238744</v>
      </c>
      <c r="H65" s="47">
        <f>(F65+'2_P'!T65)/E65*100</f>
        <v>99.84118581259925</v>
      </c>
      <c r="I65" s="28">
        <v>1776</v>
      </c>
      <c r="J65" s="29">
        <f t="shared" si="3"/>
        <v>100</v>
      </c>
      <c r="K65" s="30">
        <v>20</v>
      </c>
      <c r="L65" s="28">
        <v>756</v>
      </c>
      <c r="M65" s="28">
        <v>600</v>
      </c>
      <c r="N65" s="28">
        <v>660</v>
      </c>
      <c r="O65" s="28">
        <v>114121</v>
      </c>
      <c r="P65" s="28">
        <v>114121</v>
      </c>
      <c r="Q65" s="31">
        <v>112853</v>
      </c>
    </row>
    <row r="66" spans="3:17" s="22" customFormat="1" ht="15" x14ac:dyDescent="0.25">
      <c r="C66" s="23">
        <v>46</v>
      </c>
      <c r="D66" s="38" t="s">
        <v>85</v>
      </c>
      <c r="E66" s="25">
        <v>3110</v>
      </c>
      <c r="F66" s="26">
        <v>3022</v>
      </c>
      <c r="G66" s="27">
        <f t="shared" si="2"/>
        <v>97.170418006430864</v>
      </c>
      <c r="H66" s="47">
        <f>(F66+'2_P'!T66)/E66*100</f>
        <v>99.678456591639872</v>
      </c>
      <c r="I66" s="28">
        <v>3022</v>
      </c>
      <c r="J66" s="29">
        <f t="shared" si="3"/>
        <v>100</v>
      </c>
      <c r="K66" s="30">
        <v>34</v>
      </c>
      <c r="L66" s="28">
        <v>1728</v>
      </c>
      <c r="M66" s="28">
        <v>786</v>
      </c>
      <c r="N66" s="28">
        <v>260</v>
      </c>
      <c r="O66" s="28">
        <v>133739</v>
      </c>
      <c r="P66" s="28">
        <v>131283</v>
      </c>
      <c r="Q66" s="31">
        <v>88515</v>
      </c>
    </row>
    <row r="67" spans="3:17" s="22" customFormat="1" ht="15" x14ac:dyDescent="0.25">
      <c r="C67" s="23">
        <v>47</v>
      </c>
      <c r="D67" s="38" t="s">
        <v>86</v>
      </c>
      <c r="E67" s="25">
        <v>836</v>
      </c>
      <c r="F67" s="26">
        <v>580</v>
      </c>
      <c r="G67" s="27">
        <f t="shared" si="2"/>
        <v>69.377990430622006</v>
      </c>
      <c r="H67" s="47">
        <f>(F67+'2_P'!T67)/E67*100</f>
        <v>70.574162679425839</v>
      </c>
      <c r="I67" s="28">
        <v>568</v>
      </c>
      <c r="J67" s="29">
        <f t="shared" si="3"/>
        <v>97.931034482758619</v>
      </c>
      <c r="K67" s="30">
        <v>3</v>
      </c>
      <c r="L67" s="28">
        <v>250</v>
      </c>
      <c r="M67" s="28">
        <v>250</v>
      </c>
      <c r="N67" s="28">
        <v>300</v>
      </c>
      <c r="O67" s="28">
        <v>16617</v>
      </c>
      <c r="P67" s="28">
        <v>16617</v>
      </c>
      <c r="Q67" s="31">
        <v>25137</v>
      </c>
    </row>
    <row r="68" spans="3:17" s="22" customFormat="1" ht="15" x14ac:dyDescent="0.25">
      <c r="C68" s="23">
        <v>48</v>
      </c>
      <c r="D68" s="38" t="s">
        <v>87</v>
      </c>
      <c r="E68" s="25">
        <v>3585</v>
      </c>
      <c r="F68" s="26">
        <v>2997</v>
      </c>
      <c r="G68" s="27">
        <f t="shared" si="2"/>
        <v>83.598326359832626</v>
      </c>
      <c r="H68" s="47">
        <f>(F68+'2_P'!T68)/E68*100</f>
        <v>85.271966527196653</v>
      </c>
      <c r="I68" s="28">
        <v>2437</v>
      </c>
      <c r="J68" s="29">
        <f t="shared" si="3"/>
        <v>81.31464798131465</v>
      </c>
      <c r="K68" s="30">
        <v>28.16</v>
      </c>
      <c r="L68" s="28" t="s">
        <v>25</v>
      </c>
      <c r="M68" s="28" t="s">
        <v>25</v>
      </c>
      <c r="N68" s="28">
        <v>500</v>
      </c>
      <c r="O68" s="28">
        <v>104190</v>
      </c>
      <c r="P68" s="28">
        <v>99365</v>
      </c>
      <c r="Q68" s="31">
        <v>94147</v>
      </c>
    </row>
    <row r="69" spans="3:17" s="22" customFormat="1" ht="15" x14ac:dyDescent="0.25">
      <c r="C69" s="23">
        <v>49</v>
      </c>
      <c r="D69" s="38" t="s">
        <v>88</v>
      </c>
      <c r="E69" s="25">
        <v>2077</v>
      </c>
      <c r="F69" s="26">
        <v>1250</v>
      </c>
      <c r="G69" s="27">
        <f t="shared" si="2"/>
        <v>60.1829561868079</v>
      </c>
      <c r="H69" s="47">
        <f>(F69+'2_P'!T69)/E69*100</f>
        <v>100</v>
      </c>
      <c r="I69" s="28">
        <v>1176</v>
      </c>
      <c r="J69" s="29">
        <f t="shared" si="3"/>
        <v>94.08</v>
      </c>
      <c r="K69" s="30">
        <v>42</v>
      </c>
      <c r="L69" s="28">
        <f>170*20</f>
        <v>3400</v>
      </c>
      <c r="M69" s="28">
        <v>380</v>
      </c>
      <c r="N69" s="28">
        <v>400</v>
      </c>
      <c r="O69" s="28">
        <v>50821</v>
      </c>
      <c r="P69" s="28">
        <v>50821</v>
      </c>
      <c r="Q69" s="31">
        <v>23103</v>
      </c>
    </row>
    <row r="70" spans="3:17" s="22" customFormat="1" ht="15" x14ac:dyDescent="0.25">
      <c r="C70" s="23">
        <v>50</v>
      </c>
      <c r="D70" s="38" t="s">
        <v>89</v>
      </c>
      <c r="E70" s="25">
        <v>2159</v>
      </c>
      <c r="F70" s="26">
        <v>1532</v>
      </c>
      <c r="G70" s="27">
        <f t="shared" si="2"/>
        <v>70.958777211672071</v>
      </c>
      <c r="H70" s="47">
        <f>(F70+'2_P'!T70)/E70*100</f>
        <v>70.958777211672071</v>
      </c>
      <c r="I70" s="28">
        <v>1353</v>
      </c>
      <c r="J70" s="29">
        <f t="shared" si="3"/>
        <v>88.315926892950387</v>
      </c>
      <c r="K70" s="30">
        <v>25</v>
      </c>
      <c r="L70" s="28">
        <v>3196</v>
      </c>
      <c r="M70" s="28">
        <v>730</v>
      </c>
      <c r="N70" s="28">
        <v>550</v>
      </c>
      <c r="O70" s="28">
        <v>52757</v>
      </c>
      <c r="P70" s="28">
        <v>48431</v>
      </c>
      <c r="Q70" s="31">
        <v>56096</v>
      </c>
    </row>
    <row r="71" spans="3:17" s="22" customFormat="1" ht="15" x14ac:dyDescent="0.25">
      <c r="C71" s="23">
        <v>51</v>
      </c>
      <c r="D71" s="38" t="s">
        <v>90</v>
      </c>
      <c r="E71" s="25">
        <v>6153</v>
      </c>
      <c r="F71" s="26">
        <v>3853</v>
      </c>
      <c r="G71" s="27">
        <f t="shared" si="2"/>
        <v>62.619860230781732</v>
      </c>
      <c r="H71" s="47">
        <f>(F71+'2_P'!T71)/E71*100</f>
        <v>100</v>
      </c>
      <c r="I71" s="28">
        <v>3219</v>
      </c>
      <c r="J71" s="29">
        <f t="shared" si="3"/>
        <v>83.545289384894886</v>
      </c>
      <c r="K71" s="30">
        <v>19.66</v>
      </c>
      <c r="L71" s="28">
        <v>1450</v>
      </c>
      <c r="M71" s="28">
        <v>1172</v>
      </c>
      <c r="N71" s="28">
        <v>450</v>
      </c>
      <c r="O71" s="28">
        <v>174624</v>
      </c>
      <c r="P71" s="28">
        <v>165893</v>
      </c>
      <c r="Q71" s="31">
        <v>122000</v>
      </c>
    </row>
    <row r="72" spans="3:17" s="22" customFormat="1" ht="13.35" customHeight="1" x14ac:dyDescent="0.25">
      <c r="C72" s="23">
        <v>52</v>
      </c>
      <c r="D72" s="38" t="s">
        <v>91</v>
      </c>
      <c r="E72" s="25">
        <v>1966</v>
      </c>
      <c r="F72" s="26">
        <v>1966</v>
      </c>
      <c r="G72" s="27">
        <f t="shared" si="2"/>
        <v>100</v>
      </c>
      <c r="H72" s="47">
        <f>(F72+'2_P'!T72)/E72*100</f>
        <v>100</v>
      </c>
      <c r="I72" s="28">
        <v>1913</v>
      </c>
      <c r="J72" s="29">
        <f t="shared" si="3"/>
        <v>97.304170905391658</v>
      </c>
      <c r="K72" s="30">
        <v>0</v>
      </c>
      <c r="L72" s="28">
        <v>1195</v>
      </c>
      <c r="M72" s="28">
        <v>646</v>
      </c>
      <c r="N72" s="28">
        <v>300</v>
      </c>
      <c r="O72" s="28">
        <v>85000</v>
      </c>
      <c r="P72" s="28">
        <v>83488</v>
      </c>
      <c r="Q72" s="31" t="s">
        <v>25</v>
      </c>
    </row>
    <row r="73" spans="3:17" s="22" customFormat="1" ht="15" customHeight="1" x14ac:dyDescent="0.25">
      <c r="C73" s="23">
        <v>53</v>
      </c>
      <c r="D73" s="38" t="s">
        <v>92</v>
      </c>
      <c r="E73" s="25">
        <v>7850</v>
      </c>
      <c r="F73" s="26">
        <v>7049</v>
      </c>
      <c r="G73" s="27">
        <f t="shared" si="2"/>
        <v>89.796178343949038</v>
      </c>
      <c r="H73" s="47">
        <f>(F73+'2_P'!T73)/E73*100</f>
        <v>89.796178343949038</v>
      </c>
      <c r="I73" s="28">
        <v>5627</v>
      </c>
      <c r="J73" s="29">
        <f t="shared" si="3"/>
        <v>79.82692580507873</v>
      </c>
      <c r="K73" s="30">
        <v>9.9</v>
      </c>
      <c r="L73" s="28">
        <v>2328</v>
      </c>
      <c r="M73" s="28">
        <v>1800</v>
      </c>
      <c r="N73" s="28">
        <v>750</v>
      </c>
      <c r="O73" s="28">
        <v>286917</v>
      </c>
      <c r="P73" s="28">
        <v>263669</v>
      </c>
      <c r="Q73" s="31">
        <v>100685</v>
      </c>
    </row>
    <row r="74" spans="3:17" s="22" customFormat="1" ht="15" x14ac:dyDescent="0.25">
      <c r="C74" s="23">
        <v>54</v>
      </c>
      <c r="D74" s="38" t="s">
        <v>93</v>
      </c>
      <c r="E74" s="25">
        <v>8252</v>
      </c>
      <c r="F74" s="26">
        <v>7800</v>
      </c>
      <c r="G74" s="27">
        <f t="shared" si="2"/>
        <v>94.522539990305376</v>
      </c>
      <c r="H74" s="47">
        <f>(F74+'2_P'!T74)/E74*100</f>
        <v>98.460979156568101</v>
      </c>
      <c r="I74" s="28">
        <v>7300</v>
      </c>
      <c r="J74" s="29">
        <f t="shared" si="3"/>
        <v>93.589743589743591</v>
      </c>
      <c r="K74" s="30">
        <v>24.59</v>
      </c>
      <c r="L74" s="28">
        <v>1760</v>
      </c>
      <c r="M74" s="28">
        <v>560</v>
      </c>
      <c r="N74" s="28">
        <v>600</v>
      </c>
      <c r="O74" s="28">
        <v>242499</v>
      </c>
      <c r="P74" s="28">
        <v>95643</v>
      </c>
      <c r="Q74" s="31">
        <v>62682</v>
      </c>
    </row>
    <row r="75" spans="3:17" s="22" customFormat="1" ht="15" x14ac:dyDescent="0.25">
      <c r="C75" s="23">
        <v>55</v>
      </c>
      <c r="D75" s="38" t="s">
        <v>94</v>
      </c>
      <c r="E75" s="25">
        <v>2543</v>
      </c>
      <c r="F75" s="26" t="s">
        <v>25</v>
      </c>
      <c r="G75" s="27" t="e">
        <f t="shared" si="2"/>
        <v>#VALUE!</v>
      </c>
      <c r="H75" s="47" t="e">
        <f>(F75+0)/E75*100</f>
        <v>#VALUE!</v>
      </c>
      <c r="I75" s="28" t="s">
        <v>25</v>
      </c>
      <c r="J75" s="29" t="e">
        <f t="shared" si="3"/>
        <v>#VALUE!</v>
      </c>
      <c r="K75" s="30" t="s">
        <v>25</v>
      </c>
      <c r="L75" s="28" t="s">
        <v>25</v>
      </c>
      <c r="M75" s="28" t="s">
        <v>25</v>
      </c>
      <c r="N75" s="28" t="s">
        <v>25</v>
      </c>
      <c r="O75" s="28">
        <v>56024</v>
      </c>
      <c r="P75" s="28">
        <v>48291</v>
      </c>
      <c r="Q75" s="31">
        <v>53694</v>
      </c>
    </row>
    <row r="76" spans="3:17" s="22" customFormat="1" ht="15" x14ac:dyDescent="0.25">
      <c r="C76" s="68">
        <v>56</v>
      </c>
      <c r="D76" s="69" t="s">
        <v>95</v>
      </c>
      <c r="E76" s="70">
        <v>1620</v>
      </c>
      <c r="F76" s="71">
        <v>1620</v>
      </c>
      <c r="G76" s="72">
        <f t="shared" si="2"/>
        <v>100</v>
      </c>
      <c r="H76" s="72">
        <f>(F76+0)/E76*100</f>
        <v>100</v>
      </c>
      <c r="I76" s="73">
        <v>1592</v>
      </c>
      <c r="J76" s="72">
        <f t="shared" si="3"/>
        <v>98.271604938271608</v>
      </c>
      <c r="K76" s="74">
        <v>29.54</v>
      </c>
      <c r="L76" s="73">
        <f>192*20</f>
        <v>3840</v>
      </c>
      <c r="M76" s="73">
        <f>40*22</f>
        <v>880</v>
      </c>
      <c r="N76" s="73">
        <v>500</v>
      </c>
      <c r="O76" s="73">
        <v>66734</v>
      </c>
      <c r="P76" s="73">
        <v>66734</v>
      </c>
      <c r="Q76" s="75">
        <v>101458</v>
      </c>
    </row>
    <row r="77" spans="3:17" s="22" customFormat="1" ht="15" x14ac:dyDescent="0.25">
      <c r="C77" s="68"/>
      <c r="D77" s="69"/>
      <c r="E77" s="70"/>
      <c r="F77" s="71"/>
      <c r="G77" s="72"/>
      <c r="H77" s="72"/>
      <c r="I77" s="73"/>
      <c r="J77" s="72"/>
      <c r="K77" s="74"/>
      <c r="L77" s="73"/>
      <c r="M77" s="73"/>
      <c r="N77" s="73"/>
      <c r="O77" s="73"/>
      <c r="P77" s="73"/>
      <c r="Q77" s="75"/>
    </row>
    <row r="78" spans="3:17" s="22" customFormat="1" ht="15" x14ac:dyDescent="0.25">
      <c r="C78" s="68"/>
      <c r="D78" s="69"/>
      <c r="E78" s="70"/>
      <c r="F78" s="71"/>
      <c r="G78" s="72"/>
      <c r="H78" s="72"/>
      <c r="I78" s="73"/>
      <c r="J78" s="72"/>
      <c r="K78" s="74"/>
      <c r="L78" s="73"/>
      <c r="M78" s="73"/>
      <c r="N78" s="73"/>
      <c r="O78" s="73"/>
      <c r="P78" s="73"/>
      <c r="Q78" s="75"/>
    </row>
    <row r="79" spans="3:17" s="22" customFormat="1" ht="15" x14ac:dyDescent="0.25">
      <c r="C79" s="23">
        <v>57</v>
      </c>
      <c r="D79" s="38" t="s">
        <v>96</v>
      </c>
      <c r="E79" s="25">
        <v>3750</v>
      </c>
      <c r="F79" s="26">
        <v>3741</v>
      </c>
      <c r="G79" s="27">
        <f t="shared" ref="G79:G91" si="4">F79/E79*100</f>
        <v>99.76</v>
      </c>
      <c r="H79" s="27">
        <f>(F79+'2_P'!T79)/E79*100</f>
        <v>99.76</v>
      </c>
      <c r="I79" s="28">
        <v>2693</v>
      </c>
      <c r="J79" s="29">
        <f t="shared" ref="J79:J91" si="5">I79/F79*100</f>
        <v>71.986099973269177</v>
      </c>
      <c r="K79" s="30">
        <v>12.3</v>
      </c>
      <c r="L79" s="28">
        <v>1209</v>
      </c>
      <c r="M79" s="28">
        <v>918</v>
      </c>
      <c r="N79" s="28">
        <v>550</v>
      </c>
      <c r="O79" s="28">
        <v>218007</v>
      </c>
      <c r="P79" s="28">
        <v>168548</v>
      </c>
      <c r="Q79" s="31">
        <v>13758</v>
      </c>
    </row>
    <row r="80" spans="3:17" s="22" customFormat="1" ht="15" x14ac:dyDescent="0.25">
      <c r="C80" s="23">
        <v>58</v>
      </c>
      <c r="D80" s="38" t="s">
        <v>97</v>
      </c>
      <c r="E80" s="25">
        <v>3248</v>
      </c>
      <c r="F80" s="26">
        <v>1706</v>
      </c>
      <c r="G80" s="27">
        <f t="shared" si="4"/>
        <v>52.524630541871922</v>
      </c>
      <c r="H80" s="27">
        <f>(F80+'2_P'!T80)/E80*100</f>
        <v>100</v>
      </c>
      <c r="I80" s="28">
        <v>1589</v>
      </c>
      <c r="J80" s="29">
        <f t="shared" si="5"/>
        <v>93.141852286049243</v>
      </c>
      <c r="K80" s="30">
        <v>46</v>
      </c>
      <c r="L80" s="28">
        <f>100*20</f>
        <v>2000</v>
      </c>
      <c r="M80" s="28">
        <v>1987</v>
      </c>
      <c r="N80" s="28">
        <v>0</v>
      </c>
      <c r="O80" s="28">
        <v>101900</v>
      </c>
      <c r="P80" s="28">
        <v>86233</v>
      </c>
      <c r="Q80" s="31">
        <v>52998</v>
      </c>
    </row>
    <row r="81" spans="3:17" s="22" customFormat="1" ht="15" x14ac:dyDescent="0.25">
      <c r="C81" s="23">
        <v>59</v>
      </c>
      <c r="D81" s="38" t="s">
        <v>98</v>
      </c>
      <c r="E81" s="25">
        <v>7361</v>
      </c>
      <c r="F81" s="26">
        <v>7334</v>
      </c>
      <c r="G81" s="27">
        <f t="shared" si="4"/>
        <v>99.633202010596392</v>
      </c>
      <c r="H81" s="27">
        <f>(F81+'2_P'!T81)/E81*100</f>
        <v>100</v>
      </c>
      <c r="I81" s="28">
        <v>6998</v>
      </c>
      <c r="J81" s="29">
        <f t="shared" si="5"/>
        <v>95.418598309244615</v>
      </c>
      <c r="K81" s="30">
        <v>0</v>
      </c>
      <c r="L81" s="28">
        <v>1643</v>
      </c>
      <c r="M81" s="28">
        <v>1500</v>
      </c>
      <c r="N81" s="28">
        <v>1650</v>
      </c>
      <c r="O81" s="28">
        <v>226290</v>
      </c>
      <c r="P81" s="28">
        <v>226290</v>
      </c>
      <c r="Q81" s="31">
        <v>125039</v>
      </c>
    </row>
    <row r="82" spans="3:17" s="22" customFormat="1" ht="15" x14ac:dyDescent="0.25">
      <c r="C82" s="23">
        <v>60</v>
      </c>
      <c r="D82" s="38" t="s">
        <v>99</v>
      </c>
      <c r="E82" s="25">
        <v>2105</v>
      </c>
      <c r="F82" s="26">
        <v>1970</v>
      </c>
      <c r="G82" s="27">
        <f t="shared" si="4"/>
        <v>93.586698337292162</v>
      </c>
      <c r="H82" s="27">
        <f>(F82+'2_P'!T82)/E82*100</f>
        <v>93.586698337292162</v>
      </c>
      <c r="I82" s="28">
        <v>1867</v>
      </c>
      <c r="J82" s="29">
        <f t="shared" si="5"/>
        <v>94.771573604060904</v>
      </c>
      <c r="K82" s="30">
        <v>18</v>
      </c>
      <c r="L82" s="28">
        <f>49*20</f>
        <v>980</v>
      </c>
      <c r="M82" s="28">
        <v>840</v>
      </c>
      <c r="N82" s="28">
        <v>0</v>
      </c>
      <c r="O82" s="28">
        <v>79271</v>
      </c>
      <c r="P82" s="28">
        <v>74614</v>
      </c>
      <c r="Q82" s="31">
        <v>74450</v>
      </c>
    </row>
    <row r="83" spans="3:17" s="22" customFormat="1" ht="15" customHeight="1" x14ac:dyDescent="0.25">
      <c r="C83" s="23">
        <v>61</v>
      </c>
      <c r="D83" s="38" t="s">
        <v>100</v>
      </c>
      <c r="E83" s="25">
        <v>2239</v>
      </c>
      <c r="F83" s="26" t="s">
        <v>25</v>
      </c>
      <c r="G83" s="27" t="e">
        <f t="shared" si="4"/>
        <v>#VALUE!</v>
      </c>
      <c r="H83" s="27" t="e">
        <f>(F83+'2_P'!T83)/E83*100</f>
        <v>#VALUE!</v>
      </c>
      <c r="I83" s="28" t="s">
        <v>25</v>
      </c>
      <c r="J83" s="29" t="e">
        <f t="shared" si="5"/>
        <v>#VALUE!</v>
      </c>
      <c r="K83" s="30" t="s">
        <v>25</v>
      </c>
      <c r="L83" s="28" t="s">
        <v>25</v>
      </c>
      <c r="M83" s="28" t="s">
        <v>25</v>
      </c>
      <c r="N83" s="28" t="s">
        <v>25</v>
      </c>
      <c r="O83" s="28" t="s">
        <v>25</v>
      </c>
      <c r="P83" s="28" t="s">
        <v>25</v>
      </c>
      <c r="Q83" s="31" t="s">
        <v>25</v>
      </c>
    </row>
    <row r="84" spans="3:17" s="22" customFormat="1" ht="15" x14ac:dyDescent="0.25">
      <c r="C84" s="23">
        <v>62</v>
      </c>
      <c r="D84" s="38" t="s">
        <v>101</v>
      </c>
      <c r="E84" s="25">
        <v>2413</v>
      </c>
      <c r="F84" s="26">
        <v>2378</v>
      </c>
      <c r="G84" s="27">
        <f t="shared" si="4"/>
        <v>98.549523414836301</v>
      </c>
      <c r="H84" s="27">
        <f>(F84+'2_P'!T84)/E84*100</f>
        <v>98.549523414836301</v>
      </c>
      <c r="I84" s="28">
        <v>1838</v>
      </c>
      <c r="J84" s="29">
        <f t="shared" si="5"/>
        <v>77.291841883936087</v>
      </c>
      <c r="K84" s="30">
        <v>27</v>
      </c>
      <c r="L84" s="28">
        <v>1200</v>
      </c>
      <c r="M84" s="28">
        <v>1200</v>
      </c>
      <c r="N84" s="28">
        <v>500</v>
      </c>
      <c r="O84" s="28">
        <v>140880</v>
      </c>
      <c r="P84" s="28">
        <v>140880</v>
      </c>
      <c r="Q84" s="31">
        <v>50980</v>
      </c>
    </row>
    <row r="85" spans="3:17" s="22" customFormat="1" ht="15" x14ac:dyDescent="0.25">
      <c r="C85" s="23">
        <v>63</v>
      </c>
      <c r="D85" s="38" t="s">
        <v>102</v>
      </c>
      <c r="E85" s="25">
        <v>2858</v>
      </c>
      <c r="F85" s="26">
        <v>1431</v>
      </c>
      <c r="G85" s="27">
        <f t="shared" si="4"/>
        <v>50.069979006298112</v>
      </c>
      <c r="H85" s="27">
        <f>(F85+'2_P'!T85)/E85*100</f>
        <v>78.936319104268719</v>
      </c>
      <c r="I85" s="28">
        <v>1104</v>
      </c>
      <c r="J85" s="29">
        <f t="shared" si="5"/>
        <v>77.148846960167717</v>
      </c>
      <c r="K85" s="30">
        <v>7.4</v>
      </c>
      <c r="L85" s="28">
        <v>400</v>
      </c>
      <c r="M85" s="28">
        <v>400</v>
      </c>
      <c r="N85" s="28">
        <v>400</v>
      </c>
      <c r="O85" s="28">
        <v>55968</v>
      </c>
      <c r="P85" s="28">
        <v>55968</v>
      </c>
      <c r="Q85" s="31">
        <v>39951</v>
      </c>
    </row>
    <row r="86" spans="3:17" s="22" customFormat="1" ht="15" x14ac:dyDescent="0.25">
      <c r="C86" s="23">
        <v>64</v>
      </c>
      <c r="D86" s="38" t="s">
        <v>103</v>
      </c>
      <c r="E86" s="25">
        <v>2498</v>
      </c>
      <c r="F86" s="26">
        <v>2448</v>
      </c>
      <c r="G86" s="27">
        <f t="shared" si="4"/>
        <v>97.998398718975182</v>
      </c>
      <c r="H86" s="27">
        <f>(F86+'2_P'!T86)/E86*100</f>
        <v>97.998398718975182</v>
      </c>
      <c r="I86" s="28">
        <v>2175</v>
      </c>
      <c r="J86" s="29">
        <f t="shared" si="5"/>
        <v>88.848039215686271</v>
      </c>
      <c r="K86" s="30">
        <v>18</v>
      </c>
      <c r="L86" s="28">
        <v>2980</v>
      </c>
      <c r="M86" s="28">
        <v>1395</v>
      </c>
      <c r="N86" s="28">
        <v>400</v>
      </c>
      <c r="O86" s="28">
        <v>98493</v>
      </c>
      <c r="P86" s="28">
        <v>88377</v>
      </c>
      <c r="Q86" s="31">
        <v>49098</v>
      </c>
    </row>
    <row r="87" spans="3:17" s="22" customFormat="1" ht="16.350000000000001" customHeight="1" x14ac:dyDescent="0.25">
      <c r="C87" s="23">
        <v>65</v>
      </c>
      <c r="D87" s="38" t="s">
        <v>104</v>
      </c>
      <c r="E87" s="25">
        <v>4969</v>
      </c>
      <c r="F87" s="26">
        <v>2685</v>
      </c>
      <c r="G87" s="27">
        <f t="shared" si="4"/>
        <v>54.035017106057559</v>
      </c>
      <c r="H87" s="27">
        <f>(F87+'2_P'!T87)/E87*100</f>
        <v>57.798349768565103</v>
      </c>
      <c r="I87" s="28">
        <v>2335</v>
      </c>
      <c r="J87" s="29">
        <f t="shared" si="5"/>
        <v>86.964618249534453</v>
      </c>
      <c r="K87" s="30">
        <v>28</v>
      </c>
      <c r="L87" s="28" t="s">
        <v>25</v>
      </c>
      <c r="M87" s="28" t="s">
        <v>25</v>
      </c>
      <c r="N87" s="28" t="s">
        <v>25</v>
      </c>
      <c r="O87" s="28">
        <v>142496</v>
      </c>
      <c r="P87" s="28">
        <v>141398</v>
      </c>
      <c r="Q87" s="31">
        <v>84445</v>
      </c>
    </row>
    <row r="88" spans="3:17" s="22" customFormat="1" ht="15" x14ac:dyDescent="0.25">
      <c r="C88" s="23">
        <v>66</v>
      </c>
      <c r="D88" s="38" t="s">
        <v>105</v>
      </c>
      <c r="E88" s="25">
        <v>2392</v>
      </c>
      <c r="F88" s="26">
        <v>1466</v>
      </c>
      <c r="G88" s="27">
        <f t="shared" si="4"/>
        <v>61.287625418060202</v>
      </c>
      <c r="H88" s="27">
        <f>(F88+'2_P'!T88)/E88*100</f>
        <v>61.287625418060202</v>
      </c>
      <c r="I88" s="28">
        <v>1276</v>
      </c>
      <c r="J88" s="29">
        <f t="shared" si="5"/>
        <v>87.039563437926333</v>
      </c>
      <c r="K88" s="30">
        <v>11.78</v>
      </c>
      <c r="L88" s="28">
        <v>602</v>
      </c>
      <c r="M88" s="28">
        <v>602</v>
      </c>
      <c r="N88" s="28">
        <v>470</v>
      </c>
      <c r="O88" s="28">
        <v>38728</v>
      </c>
      <c r="P88" s="28">
        <v>38728</v>
      </c>
      <c r="Q88" s="31">
        <v>34114</v>
      </c>
    </row>
    <row r="89" spans="3:17" s="22" customFormat="1" ht="15" x14ac:dyDescent="0.25">
      <c r="C89" s="23">
        <v>67</v>
      </c>
      <c r="D89" s="38" t="s">
        <v>106</v>
      </c>
      <c r="E89" s="25">
        <v>2005</v>
      </c>
      <c r="F89" s="26">
        <v>1176</v>
      </c>
      <c r="G89" s="27">
        <f t="shared" si="4"/>
        <v>58.653366583541143</v>
      </c>
      <c r="H89" s="27">
        <f>(F89+'2_P'!T89)/E89*100</f>
        <v>83.690773067331676</v>
      </c>
      <c r="I89" s="28">
        <v>1075</v>
      </c>
      <c r="J89" s="29">
        <f t="shared" si="5"/>
        <v>91.411564625850332</v>
      </c>
      <c r="K89" s="51">
        <v>25.73</v>
      </c>
      <c r="L89" s="28">
        <f>7*3.6*20</f>
        <v>504</v>
      </c>
      <c r="M89" s="28">
        <v>500</v>
      </c>
      <c r="N89" s="28">
        <v>360</v>
      </c>
      <c r="O89" s="28">
        <v>42788</v>
      </c>
      <c r="P89" s="28">
        <v>41588</v>
      </c>
      <c r="Q89" s="31">
        <v>22581</v>
      </c>
    </row>
    <row r="90" spans="3:17" s="22" customFormat="1" ht="15" x14ac:dyDescent="0.25">
      <c r="C90" s="23">
        <v>68</v>
      </c>
      <c r="D90" s="38" t="s">
        <v>107</v>
      </c>
      <c r="E90" s="25">
        <v>6086</v>
      </c>
      <c r="F90" s="26">
        <v>5758</v>
      </c>
      <c r="G90" s="27">
        <f t="shared" si="4"/>
        <v>94.610581662832729</v>
      </c>
      <c r="H90" s="27">
        <f>(F90+'2_P'!T90)/E90*100</f>
        <v>98.652645415708179</v>
      </c>
      <c r="I90" s="28">
        <v>4756</v>
      </c>
      <c r="J90" s="29">
        <f t="shared" si="5"/>
        <v>82.598124348732199</v>
      </c>
      <c r="K90" s="30">
        <v>15</v>
      </c>
      <c r="L90" s="28">
        <v>1430</v>
      </c>
      <c r="M90" s="28">
        <v>1430</v>
      </c>
      <c r="N90" s="28">
        <v>630</v>
      </c>
      <c r="O90" s="28">
        <v>190000</v>
      </c>
      <c r="P90" s="28">
        <v>190000</v>
      </c>
      <c r="Q90" s="31">
        <v>118872</v>
      </c>
    </row>
    <row r="91" spans="3:17" s="22" customFormat="1" ht="15" x14ac:dyDescent="0.25">
      <c r="C91" s="68">
        <v>69</v>
      </c>
      <c r="D91" s="69" t="s">
        <v>108</v>
      </c>
      <c r="E91" s="70">
        <v>3051</v>
      </c>
      <c r="F91" s="71">
        <v>3019</v>
      </c>
      <c r="G91" s="72">
        <f t="shared" si="4"/>
        <v>98.951163552933465</v>
      </c>
      <c r="H91" s="72">
        <f>(F91+32)/E91*100</f>
        <v>100</v>
      </c>
      <c r="I91" s="73">
        <v>2604</v>
      </c>
      <c r="J91" s="72">
        <f t="shared" si="5"/>
        <v>86.253726399470025</v>
      </c>
      <c r="K91" s="74">
        <v>0</v>
      </c>
      <c r="L91" s="73">
        <v>2350</v>
      </c>
      <c r="M91" s="73">
        <v>2410</v>
      </c>
      <c r="N91" s="73">
        <v>560</v>
      </c>
      <c r="O91" s="73">
        <v>142824</v>
      </c>
      <c r="P91" s="73">
        <v>142025</v>
      </c>
      <c r="Q91" s="75">
        <v>121306</v>
      </c>
    </row>
    <row r="92" spans="3:17" s="22" customFormat="1" ht="15" x14ac:dyDescent="0.25">
      <c r="C92" s="68"/>
      <c r="D92" s="69"/>
      <c r="E92" s="70"/>
      <c r="F92" s="71"/>
      <c r="G92" s="72"/>
      <c r="H92" s="72"/>
      <c r="I92" s="73"/>
      <c r="J92" s="72"/>
      <c r="K92" s="74"/>
      <c r="L92" s="73"/>
      <c r="M92" s="73"/>
      <c r="N92" s="73"/>
      <c r="O92" s="73"/>
      <c r="P92" s="73"/>
      <c r="Q92" s="75"/>
    </row>
    <row r="93" spans="3:17" s="22" customFormat="1" ht="15" x14ac:dyDescent="0.25">
      <c r="C93" s="23">
        <v>70</v>
      </c>
      <c r="D93" s="38" t="s">
        <v>109</v>
      </c>
      <c r="E93" s="25">
        <v>5173</v>
      </c>
      <c r="F93" s="26">
        <v>4969</v>
      </c>
      <c r="G93" s="27">
        <f>F93/E93*100</f>
        <v>96.056446936013913</v>
      </c>
      <c r="H93" s="27">
        <f>(F93+'2_P'!T93)/E93*100</f>
        <v>100</v>
      </c>
      <c r="I93" s="28">
        <v>4541</v>
      </c>
      <c r="J93" s="29">
        <f>I93/F93*100</f>
        <v>91.386596900784866</v>
      </c>
      <c r="K93" s="30">
        <v>35.9</v>
      </c>
      <c r="L93" s="28">
        <v>1250</v>
      </c>
      <c r="M93" s="28">
        <v>2400</v>
      </c>
      <c r="N93" s="28">
        <v>664</v>
      </c>
      <c r="O93" s="28">
        <v>275735</v>
      </c>
      <c r="P93" s="28" t="s">
        <v>25</v>
      </c>
      <c r="Q93" s="31">
        <v>110525</v>
      </c>
    </row>
    <row r="94" spans="3:17" s="22" customFormat="1" ht="15" x14ac:dyDescent="0.25">
      <c r="C94" s="23">
        <v>71</v>
      </c>
      <c r="D94" s="38" t="s">
        <v>110</v>
      </c>
      <c r="E94" s="25">
        <v>3550</v>
      </c>
      <c r="F94" s="26">
        <v>3500</v>
      </c>
      <c r="G94" s="27">
        <f>F94/E94*100</f>
        <v>98.591549295774655</v>
      </c>
      <c r="H94" s="27">
        <f>(F94+'2_P'!T94)/E94*100</f>
        <v>98.591549295774655</v>
      </c>
      <c r="I94" s="28">
        <v>3450</v>
      </c>
      <c r="J94" s="29">
        <f>I94/F94*100</f>
        <v>98.571428571428584</v>
      </c>
      <c r="K94" s="30" t="s">
        <v>25</v>
      </c>
      <c r="L94" s="28">
        <v>750</v>
      </c>
      <c r="M94" s="28">
        <v>750</v>
      </c>
      <c r="N94" s="28">
        <v>200</v>
      </c>
      <c r="O94" s="28">
        <v>147000</v>
      </c>
      <c r="P94" s="28">
        <v>140437</v>
      </c>
      <c r="Q94" s="31">
        <v>100211</v>
      </c>
    </row>
    <row r="95" spans="3:17" s="22" customFormat="1" ht="15" x14ac:dyDescent="0.25">
      <c r="C95" s="23">
        <v>72</v>
      </c>
      <c r="D95" s="38" t="s">
        <v>111</v>
      </c>
      <c r="E95" s="25">
        <v>1956</v>
      </c>
      <c r="F95" s="26">
        <v>1926</v>
      </c>
      <c r="G95" s="27">
        <f>F95/E95*100</f>
        <v>98.466257668711648</v>
      </c>
      <c r="H95" s="27">
        <f>(F95+'2_P'!T95)/E95*100</f>
        <v>99.744376278118608</v>
      </c>
      <c r="I95" s="28">
        <v>1709</v>
      </c>
      <c r="J95" s="29">
        <f>I95/F95*100</f>
        <v>88.733125649013502</v>
      </c>
      <c r="K95" s="30">
        <v>31</v>
      </c>
      <c r="L95" s="28">
        <v>500</v>
      </c>
      <c r="M95" s="28">
        <v>500</v>
      </c>
      <c r="N95" s="28">
        <v>500</v>
      </c>
      <c r="O95" s="28">
        <v>55763</v>
      </c>
      <c r="P95" s="28">
        <v>53764</v>
      </c>
      <c r="Q95" s="31">
        <v>29409</v>
      </c>
    </row>
    <row r="96" spans="3:17" s="22" customFormat="1" ht="15" x14ac:dyDescent="0.25">
      <c r="C96" s="23">
        <v>73</v>
      </c>
      <c r="D96" s="38" t="s">
        <v>112</v>
      </c>
      <c r="E96" s="25">
        <v>2086</v>
      </c>
      <c r="F96" s="52" t="s">
        <v>25</v>
      </c>
      <c r="G96" s="53" t="e">
        <f>F96/E96*100</f>
        <v>#VALUE!</v>
      </c>
      <c r="H96" s="27" t="e">
        <f>(F96+'2_P'!T96)/E96*100</f>
        <v>#VALUE!</v>
      </c>
      <c r="I96" s="54" t="s">
        <v>25</v>
      </c>
      <c r="J96" s="29" t="e">
        <f>I96/F96*100</f>
        <v>#VALUE!</v>
      </c>
      <c r="K96" s="30">
        <v>12</v>
      </c>
      <c r="L96" s="28" t="s">
        <v>25</v>
      </c>
      <c r="M96" s="28" t="s">
        <v>25</v>
      </c>
      <c r="N96" s="28" t="s">
        <v>25</v>
      </c>
      <c r="O96" s="28" t="s">
        <v>25</v>
      </c>
      <c r="P96" s="28" t="s">
        <v>25</v>
      </c>
      <c r="Q96" s="31" t="s">
        <v>25</v>
      </c>
    </row>
    <row r="97" spans="3:17" s="22" customFormat="1" ht="15.75" thickBot="1" x14ac:dyDescent="0.3">
      <c r="C97" s="55">
        <v>74</v>
      </c>
      <c r="D97" s="56" t="s">
        <v>113</v>
      </c>
      <c r="E97" s="57">
        <v>3299</v>
      </c>
      <c r="F97" s="58">
        <v>2381</v>
      </c>
      <c r="G97" s="59">
        <f>F97/E97*100</f>
        <v>72.173385874507417</v>
      </c>
      <c r="H97" s="27">
        <f>(F97+'2_P'!T97)/E97*100</f>
        <v>100</v>
      </c>
      <c r="I97" s="60">
        <v>1982</v>
      </c>
      <c r="J97" s="59">
        <f>I97/F97*100</f>
        <v>83.242335153296935</v>
      </c>
      <c r="K97" s="61">
        <v>24</v>
      </c>
      <c r="L97" s="60">
        <v>999</v>
      </c>
      <c r="M97" s="60">
        <v>560</v>
      </c>
      <c r="N97" s="60">
        <v>550</v>
      </c>
      <c r="O97" s="60">
        <v>60659</v>
      </c>
      <c r="P97" s="60">
        <v>57897</v>
      </c>
      <c r="Q97" s="62">
        <v>53622</v>
      </c>
    </row>
  </sheetData>
  <mergeCells count="140">
    <mergeCell ref="L91:L92"/>
    <mergeCell ref="M91:M92"/>
    <mergeCell ref="N91:N92"/>
    <mergeCell ref="O91:O92"/>
    <mergeCell ref="P91:P92"/>
    <mergeCell ref="Q91:Q92"/>
    <mergeCell ref="Q76:Q78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K76:K78"/>
    <mergeCell ref="L76:L78"/>
    <mergeCell ref="M76:M78"/>
    <mergeCell ref="N76:N78"/>
    <mergeCell ref="O76:O78"/>
    <mergeCell ref="P76:P78"/>
    <mergeCell ref="P33:P34"/>
    <mergeCell ref="Q33:Q34"/>
    <mergeCell ref="C76:C78"/>
    <mergeCell ref="D76:D78"/>
    <mergeCell ref="E76:E78"/>
    <mergeCell ref="F76:F78"/>
    <mergeCell ref="G76:G78"/>
    <mergeCell ref="H76:H78"/>
    <mergeCell ref="I76:I78"/>
    <mergeCell ref="J76:J78"/>
    <mergeCell ref="J33:J34"/>
    <mergeCell ref="K33:K34"/>
    <mergeCell ref="L33:L34"/>
    <mergeCell ref="M33:M34"/>
    <mergeCell ref="N33:N34"/>
    <mergeCell ref="O33:O34"/>
    <mergeCell ref="O29:O30"/>
    <mergeCell ref="P29:P30"/>
    <mergeCell ref="Q29:Q30"/>
    <mergeCell ref="C33:C34"/>
    <mergeCell ref="D33:D34"/>
    <mergeCell ref="E33:E34"/>
    <mergeCell ref="F33:F34"/>
    <mergeCell ref="G33:G34"/>
    <mergeCell ref="H33:H34"/>
    <mergeCell ref="I33:I34"/>
    <mergeCell ref="I29:I30"/>
    <mergeCell ref="J29:J30"/>
    <mergeCell ref="K29:K30"/>
    <mergeCell ref="L29:L30"/>
    <mergeCell ref="M29:M30"/>
    <mergeCell ref="N29:N30"/>
    <mergeCell ref="C29:C30"/>
    <mergeCell ref="D29:D30"/>
    <mergeCell ref="E29:E30"/>
    <mergeCell ref="F29:F30"/>
    <mergeCell ref="G29:G30"/>
    <mergeCell ref="H29:H30"/>
    <mergeCell ref="L25:L26"/>
    <mergeCell ref="M25:M26"/>
    <mergeCell ref="N25:N26"/>
    <mergeCell ref="O25:O26"/>
    <mergeCell ref="P25:P26"/>
    <mergeCell ref="Q25:Q26"/>
    <mergeCell ref="Q23:Q24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K23:K24"/>
    <mergeCell ref="L23:L24"/>
    <mergeCell ref="M23:M24"/>
    <mergeCell ref="N23:N24"/>
    <mergeCell ref="O23:O24"/>
    <mergeCell ref="P23:P24"/>
    <mergeCell ref="P20:P22"/>
    <mergeCell ref="Q20:Q22"/>
    <mergeCell ref="C23:C24"/>
    <mergeCell ref="D23:D24"/>
    <mergeCell ref="E23:E24"/>
    <mergeCell ref="F23:F24"/>
    <mergeCell ref="G23:G24"/>
    <mergeCell ref="H23:H24"/>
    <mergeCell ref="I23:I24"/>
    <mergeCell ref="J23:J24"/>
    <mergeCell ref="J20:J22"/>
    <mergeCell ref="K20:K22"/>
    <mergeCell ref="L20:L22"/>
    <mergeCell ref="M20:M22"/>
    <mergeCell ref="N20:N22"/>
    <mergeCell ref="O20:O22"/>
    <mergeCell ref="O16:O17"/>
    <mergeCell ref="P16:P17"/>
    <mergeCell ref="Q16:Q17"/>
    <mergeCell ref="C20:C22"/>
    <mergeCell ref="D20:D22"/>
    <mergeCell ref="E20:E22"/>
    <mergeCell ref="F20:F22"/>
    <mergeCell ref="G20:G22"/>
    <mergeCell ref="H20:H22"/>
    <mergeCell ref="I20:I22"/>
    <mergeCell ref="I16:I17"/>
    <mergeCell ref="J16:J17"/>
    <mergeCell ref="K16:K17"/>
    <mergeCell ref="L16:L17"/>
    <mergeCell ref="M16:M17"/>
    <mergeCell ref="N16:N17"/>
    <mergeCell ref="N8:N13"/>
    <mergeCell ref="O8:O13"/>
    <mergeCell ref="P8:P13"/>
    <mergeCell ref="Q8:Q13"/>
    <mergeCell ref="C16:C17"/>
    <mergeCell ref="D16:D17"/>
    <mergeCell ref="E16:E17"/>
    <mergeCell ref="F16:F17"/>
    <mergeCell ref="G16:G17"/>
    <mergeCell ref="H16:H17"/>
    <mergeCell ref="H8:H13"/>
    <mergeCell ref="I8:I13"/>
    <mergeCell ref="J8:J13"/>
    <mergeCell ref="K8:K13"/>
    <mergeCell ref="L8:L13"/>
    <mergeCell ref="M8:M13"/>
    <mergeCell ref="C2:Q2"/>
    <mergeCell ref="C4:C5"/>
    <mergeCell ref="D4:D5"/>
    <mergeCell ref="E4:E5"/>
    <mergeCell ref="F4:Q4"/>
    <mergeCell ref="C8:C13"/>
    <mergeCell ref="D8:D13"/>
    <mergeCell ref="E8:E13"/>
    <mergeCell ref="F8:F13"/>
    <mergeCell ref="G8:G13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L98"/>
  <sheetViews>
    <sheetView workbookViewId="0"/>
  </sheetViews>
  <sheetFormatPr defaultRowHeight="14.45" x14ac:dyDescent="0.25"/>
  <cols>
    <col min="1" max="1" width="3.85546875" customWidth="1"/>
    <col min="2" max="2" width="3" customWidth="1"/>
    <col min="3" max="3" width="8.42578125" customWidth="1"/>
    <col min="4" max="4" width="16" customWidth="1"/>
    <col min="5" max="5" width="12.5703125" style="1" customWidth="1"/>
    <col min="6" max="6" width="9.28515625" style="1" customWidth="1"/>
    <col min="7" max="7" width="9.140625" style="2" customWidth="1"/>
    <col min="8" max="8" width="10.85546875" style="2" customWidth="1"/>
    <col min="9" max="9" width="9.85546875" style="1" customWidth="1"/>
    <col min="10" max="10" width="10.140625" style="2" customWidth="1"/>
    <col min="11" max="11" width="8.140625" style="3" customWidth="1"/>
    <col min="12" max="13" width="9.140625" style="1" customWidth="1"/>
    <col min="14" max="14" width="10.140625" style="1" customWidth="1"/>
    <col min="15" max="15" width="10.85546875" style="1" customWidth="1"/>
    <col min="16" max="16" width="10.42578125" style="1" customWidth="1"/>
    <col min="17" max="17" width="11" style="1" customWidth="1"/>
    <col min="18" max="18" width="11.42578125" style="76" customWidth="1"/>
    <col min="19" max="19" width="11" style="76" customWidth="1"/>
    <col min="20" max="20" width="10.85546875" style="76" customWidth="1"/>
    <col min="21" max="21" width="12.140625" style="77" customWidth="1"/>
    <col min="22" max="22" width="13.5703125" style="77" customWidth="1"/>
    <col min="23" max="23" width="13" customWidth="1"/>
    <col min="24" max="24" width="11.5703125" style="76" customWidth="1"/>
    <col min="25" max="25" width="12.7109375" style="78" customWidth="1"/>
    <col min="26" max="27" width="10.7109375" style="76" customWidth="1"/>
    <col min="28" max="28" width="10.28515625" style="76" customWidth="1"/>
    <col min="29" max="29" width="12.42578125" style="79" customWidth="1"/>
    <col min="30" max="30" width="12" style="79" customWidth="1"/>
    <col min="31" max="31" width="15.5703125" customWidth="1"/>
    <col min="32" max="32" width="11.85546875" style="76" bestFit="1" customWidth="1"/>
    <col min="33" max="33" width="11.85546875" style="80" customWidth="1"/>
    <col min="34" max="34" width="16" customWidth="1"/>
    <col min="35" max="35" width="13.85546875" style="76" customWidth="1"/>
    <col min="36" max="36" width="12.7109375" style="76" bestFit="1" customWidth="1"/>
    <col min="37" max="37" width="9.140625" customWidth="1"/>
  </cols>
  <sheetData>
    <row r="1" spans="2:38" ht="15" x14ac:dyDescent="0.25">
      <c r="AJ1" s="76" t="s">
        <v>114</v>
      </c>
    </row>
    <row r="2" spans="2:38" ht="21" x14ac:dyDescent="0.35">
      <c r="C2" s="63" t="s">
        <v>115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</row>
    <row r="3" spans="2:38" ht="22.35" customHeight="1" thickBot="1" x14ac:dyDescent="0.3">
      <c r="B3" s="4"/>
      <c r="AL3" s="5">
        <v>135</v>
      </c>
    </row>
    <row r="4" spans="2:38" ht="19.350000000000001" customHeight="1" thickBot="1" x14ac:dyDescent="0.3">
      <c r="C4" s="64" t="s">
        <v>2</v>
      </c>
      <c r="D4" s="65" t="s">
        <v>3</v>
      </c>
      <c r="E4" s="66" t="s">
        <v>4</v>
      </c>
      <c r="F4" s="67" t="s">
        <v>1</v>
      </c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 t="s">
        <v>115</v>
      </c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</row>
    <row r="5" spans="2:38" ht="61.7" customHeight="1" x14ac:dyDescent="0.25">
      <c r="C5" s="64"/>
      <c r="D5" s="65"/>
      <c r="E5" s="66"/>
      <c r="F5" s="6" t="s">
        <v>5</v>
      </c>
      <c r="G5" s="7" t="s">
        <v>6</v>
      </c>
      <c r="H5" s="7" t="s">
        <v>7</v>
      </c>
      <c r="I5" s="8" t="s">
        <v>8</v>
      </c>
      <c r="J5" s="9" t="s">
        <v>9</v>
      </c>
      <c r="K5" s="10" t="s">
        <v>10</v>
      </c>
      <c r="L5" s="11" t="s">
        <v>11</v>
      </c>
      <c r="M5" s="11" t="s">
        <v>12</v>
      </c>
      <c r="N5" s="11" t="s">
        <v>13</v>
      </c>
      <c r="O5" s="11" t="s">
        <v>14</v>
      </c>
      <c r="P5" s="11" t="s">
        <v>15</v>
      </c>
      <c r="Q5" s="81" t="s">
        <v>16</v>
      </c>
      <c r="R5" s="6" t="s">
        <v>116</v>
      </c>
      <c r="S5" s="82" t="s">
        <v>117</v>
      </c>
      <c r="T5" s="11" t="s">
        <v>118</v>
      </c>
      <c r="U5" s="83" t="s">
        <v>119</v>
      </c>
      <c r="V5" s="83" t="s">
        <v>120</v>
      </c>
      <c r="W5" s="84" t="s">
        <v>121</v>
      </c>
      <c r="X5" s="11" t="s">
        <v>122</v>
      </c>
      <c r="Y5" s="9" t="s">
        <v>123</v>
      </c>
      <c r="Z5" s="8" t="s">
        <v>124</v>
      </c>
      <c r="AA5" s="82" t="s">
        <v>117</v>
      </c>
      <c r="AB5" s="11" t="s">
        <v>125</v>
      </c>
      <c r="AC5" s="83" t="s">
        <v>119</v>
      </c>
      <c r="AD5" s="83" t="s">
        <v>120</v>
      </c>
      <c r="AE5" s="84" t="s">
        <v>126</v>
      </c>
      <c r="AF5" s="11" t="s">
        <v>127</v>
      </c>
      <c r="AG5" s="9" t="s">
        <v>128</v>
      </c>
      <c r="AH5" s="85" t="s">
        <v>129</v>
      </c>
      <c r="AI5" s="86" t="s">
        <v>130</v>
      </c>
      <c r="AJ5" s="12" t="s">
        <v>131</v>
      </c>
    </row>
    <row r="6" spans="2:38" ht="15" x14ac:dyDescent="0.25">
      <c r="C6" s="13"/>
      <c r="D6" s="14" t="s">
        <v>17</v>
      </c>
      <c r="E6" s="15"/>
      <c r="F6" s="16"/>
      <c r="G6" s="17"/>
      <c r="H6" s="17"/>
      <c r="I6" s="18"/>
      <c r="J6" s="19"/>
      <c r="K6" s="20"/>
      <c r="L6" s="18"/>
      <c r="M6" s="18"/>
      <c r="N6" s="18"/>
      <c r="O6" s="18"/>
      <c r="P6" s="18"/>
      <c r="Q6" s="87"/>
      <c r="R6" s="88"/>
      <c r="S6" s="89"/>
      <c r="T6" s="90"/>
      <c r="U6" s="91"/>
      <c r="V6" s="91"/>
      <c r="W6" s="92"/>
      <c r="X6" s="90"/>
      <c r="Y6" s="93"/>
      <c r="Z6" s="90"/>
      <c r="AA6" s="90"/>
      <c r="AB6" s="90"/>
      <c r="AC6" s="94"/>
      <c r="AD6" s="94"/>
      <c r="AE6" s="92"/>
      <c r="AF6" s="95"/>
      <c r="AG6" s="96"/>
      <c r="AH6" s="97"/>
      <c r="AI6" s="95"/>
      <c r="AJ6" s="98"/>
    </row>
    <row r="7" spans="2:38" s="22" customFormat="1" ht="42" customHeight="1" x14ac:dyDescent="0.25">
      <c r="C7" s="23" t="s">
        <v>18</v>
      </c>
      <c r="D7" s="24" t="s">
        <v>19</v>
      </c>
      <c r="E7" s="25">
        <v>85932</v>
      </c>
      <c r="F7" s="26">
        <v>84663</v>
      </c>
      <c r="G7" s="27">
        <f>F7/E7*100</f>
        <v>98.523250942605785</v>
      </c>
      <c r="H7" s="27">
        <f>(F7+T7)/E7*100</f>
        <v>98.523250942605785</v>
      </c>
      <c r="I7" s="28">
        <v>78862</v>
      </c>
      <c r="J7" s="29">
        <f>I7/F7*100</f>
        <v>93.148128462256238</v>
      </c>
      <c r="K7" s="30">
        <v>14.5</v>
      </c>
      <c r="L7" s="28">
        <v>43690</v>
      </c>
      <c r="M7" s="28">
        <v>43690</v>
      </c>
      <c r="N7" s="28">
        <v>14550</v>
      </c>
      <c r="O7" s="28">
        <v>4044409</v>
      </c>
      <c r="P7" s="28">
        <v>3920307</v>
      </c>
      <c r="Q7" s="99">
        <v>2091525</v>
      </c>
      <c r="R7" s="26">
        <v>0</v>
      </c>
      <c r="S7" s="100">
        <v>0</v>
      </c>
      <c r="T7" s="28">
        <v>0</v>
      </c>
      <c r="U7" s="29" t="e">
        <f>S7/T7</f>
        <v>#DIV/0!</v>
      </c>
      <c r="V7" s="29">
        <v>3214.12</v>
      </c>
      <c r="W7" s="30">
        <v>0</v>
      </c>
      <c r="X7" s="28">
        <v>0</v>
      </c>
      <c r="Y7" s="101">
        <f>X7/F7</f>
        <v>0</v>
      </c>
      <c r="Z7" s="28">
        <v>77148</v>
      </c>
      <c r="AA7" s="28">
        <v>15609600</v>
      </c>
      <c r="AB7" s="28">
        <v>4395</v>
      </c>
      <c r="AC7" s="29">
        <f>AA7/AB7</f>
        <v>3551.6723549488056</v>
      </c>
      <c r="AD7" s="29">
        <f>V7</f>
        <v>3214.12</v>
      </c>
      <c r="AE7" s="30" t="s">
        <v>132</v>
      </c>
      <c r="AF7" s="99">
        <v>4926000</v>
      </c>
      <c r="AG7" s="102">
        <f>AF7/I7</f>
        <v>62.463543912150335</v>
      </c>
      <c r="AH7" s="103" t="s">
        <v>133</v>
      </c>
      <c r="AI7" s="99">
        <v>254000</v>
      </c>
      <c r="AJ7" s="104">
        <f>S7+X7+AA7+AF7+AI7</f>
        <v>20789600</v>
      </c>
    </row>
    <row r="8" spans="2:38" s="22" customFormat="1" ht="24" customHeight="1" x14ac:dyDescent="0.25">
      <c r="C8" s="68" t="s">
        <v>20</v>
      </c>
      <c r="D8" s="69" t="s">
        <v>21</v>
      </c>
      <c r="E8" s="70">
        <v>677295</v>
      </c>
      <c r="F8" s="71">
        <v>663924</v>
      </c>
      <c r="G8" s="72">
        <f>F8/E8*100</f>
        <v>98.025823311850829</v>
      </c>
      <c r="H8" s="72">
        <f>(F8+T8)/E8*100</f>
        <v>100.55972655932793</v>
      </c>
      <c r="I8" s="73">
        <v>657897</v>
      </c>
      <c r="J8" s="72">
        <f>I8/F8*100</f>
        <v>99.092215374048848</v>
      </c>
      <c r="K8" s="74">
        <v>12.12</v>
      </c>
      <c r="L8" s="73">
        <v>272488</v>
      </c>
      <c r="M8" s="73">
        <v>178000</v>
      </c>
      <c r="N8" s="73">
        <v>58000</v>
      </c>
      <c r="O8" s="73">
        <f>46680000</f>
        <v>46680000</v>
      </c>
      <c r="P8" s="73">
        <f>29082000</f>
        <v>29082000</v>
      </c>
      <c r="Q8" s="75">
        <v>19189095</v>
      </c>
      <c r="R8" s="71">
        <v>90000</v>
      </c>
      <c r="S8" s="73">
        <v>31907000</v>
      </c>
      <c r="T8" s="73">
        <v>17162</v>
      </c>
      <c r="U8" s="72">
        <f>S8/T8</f>
        <v>1859.1655984151032</v>
      </c>
      <c r="V8" s="72">
        <v>6020.46</v>
      </c>
      <c r="W8" s="103" t="s">
        <v>134</v>
      </c>
      <c r="X8" s="99">
        <v>20400000</v>
      </c>
      <c r="Y8" s="132">
        <f>(X8+X9+X10)/F8</f>
        <v>56.889041516800113</v>
      </c>
      <c r="Z8" s="73">
        <v>0</v>
      </c>
      <c r="AA8" s="73">
        <v>0</v>
      </c>
      <c r="AB8" s="73">
        <v>0</v>
      </c>
      <c r="AC8" s="72" t="e">
        <f>AA8/AB8</f>
        <v>#DIV/0!</v>
      </c>
      <c r="AD8" s="72">
        <f>V8</f>
        <v>6020.46</v>
      </c>
      <c r="AE8" s="30" t="s">
        <v>135</v>
      </c>
      <c r="AF8" s="28">
        <v>48671300</v>
      </c>
      <c r="AG8" s="133">
        <f>(AF8+AF13)/I8</f>
        <v>124.254472964613</v>
      </c>
      <c r="AH8" s="134">
        <v>0</v>
      </c>
      <c r="AI8" s="73">
        <v>0</v>
      </c>
      <c r="AJ8" s="135">
        <f>S8+AA8+AF8+AF9+AF10+AF11+AF12+AF13+X8+X9+X10</f>
        <v>169175245</v>
      </c>
    </row>
    <row r="9" spans="2:38" s="22" customFormat="1" ht="22.7" customHeight="1" x14ac:dyDescent="0.25">
      <c r="C9" s="68"/>
      <c r="D9" s="69"/>
      <c r="E9" s="70"/>
      <c r="F9" s="71"/>
      <c r="G9" s="72"/>
      <c r="H9" s="72"/>
      <c r="I9" s="73"/>
      <c r="J9" s="72"/>
      <c r="K9" s="74"/>
      <c r="L9" s="73"/>
      <c r="M9" s="73"/>
      <c r="N9" s="73"/>
      <c r="O9" s="73"/>
      <c r="P9" s="73"/>
      <c r="Q9" s="75"/>
      <c r="R9" s="71"/>
      <c r="S9" s="73"/>
      <c r="T9" s="73"/>
      <c r="U9" s="72"/>
      <c r="V9" s="72"/>
      <c r="W9" s="103" t="s">
        <v>136</v>
      </c>
      <c r="X9" s="99">
        <v>5210000</v>
      </c>
      <c r="Y9" s="132"/>
      <c r="Z9" s="73"/>
      <c r="AA9" s="73"/>
      <c r="AB9" s="73"/>
      <c r="AC9" s="72"/>
      <c r="AD9" s="72"/>
      <c r="AE9" s="30" t="s">
        <v>137</v>
      </c>
      <c r="AF9" s="28">
        <v>230000</v>
      </c>
      <c r="AG9" s="133"/>
      <c r="AH9" s="134"/>
      <c r="AI9" s="73"/>
      <c r="AJ9" s="135"/>
    </row>
    <row r="10" spans="2:38" s="22" customFormat="1" ht="34.700000000000003" customHeight="1" x14ac:dyDescent="0.25">
      <c r="C10" s="68"/>
      <c r="D10" s="69"/>
      <c r="E10" s="70"/>
      <c r="F10" s="71"/>
      <c r="G10" s="72"/>
      <c r="H10" s="72"/>
      <c r="I10" s="73"/>
      <c r="J10" s="72"/>
      <c r="K10" s="74"/>
      <c r="L10" s="73"/>
      <c r="M10" s="73"/>
      <c r="N10" s="73"/>
      <c r="O10" s="73"/>
      <c r="P10" s="73"/>
      <c r="Q10" s="75"/>
      <c r="R10" s="71"/>
      <c r="S10" s="73"/>
      <c r="T10" s="73"/>
      <c r="U10" s="72"/>
      <c r="V10" s="72"/>
      <c r="W10" s="134" t="s">
        <v>138</v>
      </c>
      <c r="X10" s="73">
        <v>12160000</v>
      </c>
      <c r="Y10" s="132"/>
      <c r="Z10" s="73"/>
      <c r="AA10" s="73"/>
      <c r="AB10" s="73"/>
      <c r="AC10" s="72"/>
      <c r="AD10" s="72"/>
      <c r="AE10" s="105" t="s">
        <v>139</v>
      </c>
      <c r="AF10" s="28">
        <v>15234000</v>
      </c>
      <c r="AG10" s="133"/>
      <c r="AH10" s="134"/>
      <c r="AI10" s="73"/>
      <c r="AJ10" s="135"/>
    </row>
    <row r="11" spans="2:38" s="22" customFormat="1" ht="48.6" customHeight="1" x14ac:dyDescent="0.25">
      <c r="C11" s="68"/>
      <c r="D11" s="69"/>
      <c r="E11" s="70"/>
      <c r="F11" s="71"/>
      <c r="G11" s="72"/>
      <c r="H11" s="72"/>
      <c r="I11" s="73"/>
      <c r="J11" s="72"/>
      <c r="K11" s="74"/>
      <c r="L11" s="73"/>
      <c r="M11" s="73"/>
      <c r="N11" s="73"/>
      <c r="O11" s="73"/>
      <c r="P11" s="73"/>
      <c r="Q11" s="75"/>
      <c r="R11" s="71"/>
      <c r="S11" s="73"/>
      <c r="T11" s="73"/>
      <c r="U11" s="72"/>
      <c r="V11" s="72"/>
      <c r="W11" s="134"/>
      <c r="X11" s="73"/>
      <c r="Y11" s="132"/>
      <c r="Z11" s="73"/>
      <c r="AA11" s="73"/>
      <c r="AB11" s="73"/>
      <c r="AC11" s="72"/>
      <c r="AD11" s="72"/>
      <c r="AE11" s="105" t="s">
        <v>140</v>
      </c>
      <c r="AF11" s="28">
        <v>847600</v>
      </c>
      <c r="AG11" s="133"/>
      <c r="AH11" s="134"/>
      <c r="AI11" s="73"/>
      <c r="AJ11" s="135"/>
    </row>
    <row r="12" spans="2:38" s="22" customFormat="1" ht="37.35" customHeight="1" x14ac:dyDescent="0.25">
      <c r="C12" s="68"/>
      <c r="D12" s="69"/>
      <c r="E12" s="70"/>
      <c r="F12" s="71"/>
      <c r="G12" s="72"/>
      <c r="H12" s="72"/>
      <c r="I12" s="73"/>
      <c r="J12" s="72"/>
      <c r="K12" s="74"/>
      <c r="L12" s="73"/>
      <c r="M12" s="73"/>
      <c r="N12" s="73"/>
      <c r="O12" s="73"/>
      <c r="P12" s="73"/>
      <c r="Q12" s="75"/>
      <c r="R12" s="71"/>
      <c r="S12" s="73"/>
      <c r="T12" s="73"/>
      <c r="U12" s="72"/>
      <c r="V12" s="72"/>
      <c r="W12" s="134"/>
      <c r="X12" s="73"/>
      <c r="Y12" s="132"/>
      <c r="Z12" s="73"/>
      <c r="AA12" s="73"/>
      <c r="AB12" s="73"/>
      <c r="AC12" s="72"/>
      <c r="AD12" s="72"/>
      <c r="AE12" s="105" t="s">
        <v>141</v>
      </c>
      <c r="AF12" s="28">
        <v>1440000</v>
      </c>
      <c r="AG12" s="133"/>
      <c r="AH12" s="134"/>
      <c r="AI12" s="73"/>
      <c r="AJ12" s="135"/>
    </row>
    <row r="13" spans="2:38" s="22" customFormat="1" ht="24" x14ac:dyDescent="0.25">
      <c r="C13" s="68"/>
      <c r="D13" s="69"/>
      <c r="E13" s="70"/>
      <c r="F13" s="71"/>
      <c r="G13" s="72"/>
      <c r="H13" s="72"/>
      <c r="I13" s="73"/>
      <c r="J13" s="72"/>
      <c r="K13" s="74"/>
      <c r="L13" s="73"/>
      <c r="M13" s="73"/>
      <c r="N13" s="73"/>
      <c r="O13" s="73"/>
      <c r="P13" s="73"/>
      <c r="Q13" s="75"/>
      <c r="R13" s="71"/>
      <c r="S13" s="73"/>
      <c r="T13" s="73"/>
      <c r="U13" s="72"/>
      <c r="V13" s="72"/>
      <c r="W13" s="134"/>
      <c r="X13" s="73"/>
      <c r="Y13" s="132"/>
      <c r="Z13" s="73"/>
      <c r="AA13" s="73"/>
      <c r="AB13" s="73"/>
      <c r="AC13" s="72"/>
      <c r="AD13" s="72"/>
      <c r="AE13" s="105" t="s">
        <v>142</v>
      </c>
      <c r="AF13" s="28">
        <v>33075345</v>
      </c>
      <c r="AG13" s="133"/>
      <c r="AH13" s="134"/>
      <c r="AI13" s="73"/>
      <c r="AJ13" s="135"/>
    </row>
    <row r="14" spans="2:38" ht="15" customHeight="1" x14ac:dyDescent="0.25">
      <c r="C14" s="13"/>
      <c r="D14" s="32" t="s">
        <v>22</v>
      </c>
      <c r="E14" s="33"/>
      <c r="F14" s="34"/>
      <c r="G14" s="35"/>
      <c r="H14" s="35"/>
      <c r="I14" s="34"/>
      <c r="J14" s="35"/>
      <c r="K14" s="35"/>
      <c r="L14" s="36"/>
      <c r="M14" s="36"/>
      <c r="N14" s="36"/>
      <c r="O14" s="36"/>
      <c r="P14" s="36"/>
      <c r="Q14" s="106"/>
      <c r="R14" s="34"/>
      <c r="S14" s="107"/>
      <c r="T14" s="36"/>
      <c r="U14" s="108"/>
      <c r="V14" s="108"/>
      <c r="W14" s="109"/>
      <c r="X14" s="36"/>
      <c r="Y14" s="36"/>
      <c r="Z14" s="36"/>
      <c r="AA14" s="36"/>
      <c r="AB14" s="36"/>
      <c r="AC14" s="110"/>
      <c r="AD14" s="110"/>
      <c r="AE14" s="109"/>
      <c r="AF14" s="106"/>
      <c r="AG14" s="111"/>
      <c r="AH14" s="112"/>
      <c r="AI14" s="106"/>
      <c r="AJ14" s="113"/>
    </row>
    <row r="15" spans="2:38" s="22" customFormat="1" ht="15" x14ac:dyDescent="0.25">
      <c r="C15" s="23" t="s">
        <v>23</v>
      </c>
      <c r="D15" s="38" t="s">
        <v>24</v>
      </c>
      <c r="E15" s="25">
        <v>8272</v>
      </c>
      <c r="F15" s="26">
        <v>8011</v>
      </c>
      <c r="G15" s="27">
        <f>F15/E15*100</f>
        <v>96.844777562862674</v>
      </c>
      <c r="H15" s="27">
        <f>(F15+T15)/E15*100</f>
        <v>96.844777562862674</v>
      </c>
      <c r="I15" s="28">
        <v>7911</v>
      </c>
      <c r="J15" s="29">
        <f>I15/F15*100</f>
        <v>98.751716389963789</v>
      </c>
      <c r="K15" s="30">
        <v>32</v>
      </c>
      <c r="L15" s="28" t="s">
        <v>25</v>
      </c>
      <c r="M15" s="28">
        <v>3500</v>
      </c>
      <c r="N15" s="28">
        <v>1000</v>
      </c>
      <c r="O15" s="28">
        <v>432721</v>
      </c>
      <c r="P15" s="28">
        <v>275739</v>
      </c>
      <c r="Q15" s="99">
        <v>254425</v>
      </c>
      <c r="R15" s="26">
        <v>0</v>
      </c>
      <c r="S15" s="100">
        <v>0</v>
      </c>
      <c r="T15" s="28">
        <v>0</v>
      </c>
      <c r="U15" s="29" t="e">
        <f>S15/T15</f>
        <v>#DIV/0!</v>
      </c>
      <c r="V15" s="29">
        <v>4498.97</v>
      </c>
      <c r="W15" s="30">
        <v>0</v>
      </c>
      <c r="X15" s="28">
        <v>0</v>
      </c>
      <c r="Y15" s="101">
        <f>X15/F15</f>
        <v>0</v>
      </c>
      <c r="Z15" s="28">
        <v>0</v>
      </c>
      <c r="AA15" s="28">
        <v>0</v>
      </c>
      <c r="AB15" s="28">
        <v>0</v>
      </c>
      <c r="AC15" s="29" t="e">
        <f>AA15/AB15</f>
        <v>#DIV/0!</v>
      </c>
      <c r="AD15" s="29">
        <f>V15</f>
        <v>4498.97</v>
      </c>
      <c r="AE15" s="30">
        <v>0</v>
      </c>
      <c r="AF15" s="99">
        <v>0</v>
      </c>
      <c r="AG15" s="102">
        <f>AF15/I15</f>
        <v>0</v>
      </c>
      <c r="AH15" s="114">
        <v>0</v>
      </c>
      <c r="AI15" s="99">
        <v>0</v>
      </c>
      <c r="AJ15" s="104">
        <v>0</v>
      </c>
    </row>
    <row r="16" spans="2:38" s="22" customFormat="1" ht="15" x14ac:dyDescent="0.25">
      <c r="C16" s="68" t="s">
        <v>26</v>
      </c>
      <c r="D16" s="69" t="s">
        <v>27</v>
      </c>
      <c r="E16" s="70">
        <v>16146</v>
      </c>
      <c r="F16" s="71">
        <v>16115</v>
      </c>
      <c r="G16" s="72">
        <f>F16/E16*100</f>
        <v>99.808001981915027</v>
      </c>
      <c r="H16" s="72">
        <f>(F16+T16)/E16*100</f>
        <v>100.0681283289979</v>
      </c>
      <c r="I16" s="73">
        <v>15679</v>
      </c>
      <c r="J16" s="72">
        <f>I16/F16*100</f>
        <v>97.294446168166303</v>
      </c>
      <c r="K16" s="74">
        <v>14</v>
      </c>
      <c r="L16" s="73">
        <v>4800</v>
      </c>
      <c r="M16" s="73" t="s">
        <v>25</v>
      </c>
      <c r="N16" s="73">
        <v>5300</v>
      </c>
      <c r="O16" s="73">
        <v>777363</v>
      </c>
      <c r="P16" s="73">
        <v>606154</v>
      </c>
      <c r="Q16" s="75">
        <v>933114</v>
      </c>
      <c r="R16" s="71">
        <v>1645</v>
      </c>
      <c r="S16" s="73">
        <v>191800</v>
      </c>
      <c r="T16" s="73">
        <v>42</v>
      </c>
      <c r="U16" s="72">
        <f>S16/T16</f>
        <v>4566.666666666667</v>
      </c>
      <c r="V16" s="72">
        <v>3582.6</v>
      </c>
      <c r="W16" s="74">
        <v>0</v>
      </c>
      <c r="X16" s="73">
        <v>0</v>
      </c>
      <c r="Y16" s="132">
        <f>X16/F16</f>
        <v>0</v>
      </c>
      <c r="Z16" s="73">
        <v>6970</v>
      </c>
      <c r="AA16" s="73">
        <v>1032000</v>
      </c>
      <c r="AB16" s="73">
        <v>157</v>
      </c>
      <c r="AC16" s="72">
        <f>AA16/AB16</f>
        <v>6573.248407643312</v>
      </c>
      <c r="AD16" s="72">
        <f>V16</f>
        <v>3582.6</v>
      </c>
      <c r="AE16" s="30" t="s">
        <v>143</v>
      </c>
      <c r="AF16" s="99">
        <v>2235500</v>
      </c>
      <c r="AG16" s="133">
        <f>AF16/I16</f>
        <v>142.57924612539065</v>
      </c>
      <c r="AH16" s="134" t="s">
        <v>144</v>
      </c>
      <c r="AI16" s="73">
        <v>110000</v>
      </c>
      <c r="AJ16" s="135">
        <f>S16+X16+AA16+AF16+AF17+AI17+AI16</f>
        <v>3719300</v>
      </c>
    </row>
    <row r="17" spans="3:37" s="22" customFormat="1" ht="36" x14ac:dyDescent="0.25">
      <c r="C17" s="68"/>
      <c r="D17" s="69"/>
      <c r="E17" s="70"/>
      <c r="F17" s="71"/>
      <c r="G17" s="72"/>
      <c r="H17" s="72"/>
      <c r="I17" s="73"/>
      <c r="J17" s="72"/>
      <c r="K17" s="74"/>
      <c r="L17" s="73"/>
      <c r="M17" s="73"/>
      <c r="N17" s="73"/>
      <c r="O17" s="73"/>
      <c r="P17" s="73"/>
      <c r="Q17" s="75"/>
      <c r="R17" s="71"/>
      <c r="S17" s="73"/>
      <c r="T17" s="73"/>
      <c r="U17" s="72"/>
      <c r="V17" s="72"/>
      <c r="W17" s="74"/>
      <c r="X17" s="73"/>
      <c r="Y17" s="132"/>
      <c r="Z17" s="73"/>
      <c r="AA17" s="73"/>
      <c r="AB17" s="73"/>
      <c r="AC17" s="72"/>
      <c r="AD17" s="72"/>
      <c r="AE17" s="105" t="s">
        <v>145</v>
      </c>
      <c r="AF17" s="99">
        <v>150000</v>
      </c>
      <c r="AG17" s="133"/>
      <c r="AH17" s="134"/>
      <c r="AI17" s="73"/>
      <c r="AJ17" s="135"/>
    </row>
    <row r="18" spans="3:37" s="22" customFormat="1" ht="36" x14ac:dyDescent="0.25">
      <c r="C18" s="23" t="s">
        <v>28</v>
      </c>
      <c r="D18" s="38" t="s">
        <v>29</v>
      </c>
      <c r="E18" s="25">
        <v>9758</v>
      </c>
      <c r="F18" s="26">
        <v>9221</v>
      </c>
      <c r="G18" s="27">
        <f>F18/E18*100</f>
        <v>94.496823119491708</v>
      </c>
      <c r="H18" s="27">
        <f>(F18+T18)/E18*100</f>
        <v>94.496823119491708</v>
      </c>
      <c r="I18" s="28">
        <v>8968</v>
      </c>
      <c r="J18" s="29">
        <f>I18/F18*100</f>
        <v>97.25626287821278</v>
      </c>
      <c r="K18" s="30">
        <v>19</v>
      </c>
      <c r="L18" s="28">
        <v>3628</v>
      </c>
      <c r="M18" s="28">
        <v>3500</v>
      </c>
      <c r="N18" s="28">
        <v>1050</v>
      </c>
      <c r="O18" s="28">
        <v>399525</v>
      </c>
      <c r="P18" s="28">
        <v>338865</v>
      </c>
      <c r="Q18" s="99">
        <v>147420</v>
      </c>
      <c r="R18" s="26">
        <v>0</v>
      </c>
      <c r="S18" s="100">
        <v>0</v>
      </c>
      <c r="T18" s="28">
        <v>0</v>
      </c>
      <c r="U18" s="29" t="e">
        <f>S18/T18</f>
        <v>#DIV/0!</v>
      </c>
      <c r="V18" s="29">
        <v>4498.97</v>
      </c>
      <c r="W18" s="30">
        <v>0</v>
      </c>
      <c r="X18" s="28">
        <v>0</v>
      </c>
      <c r="Y18" s="101">
        <f>X18/F18</f>
        <v>0</v>
      </c>
      <c r="Z18" s="28">
        <v>0</v>
      </c>
      <c r="AA18" s="28">
        <v>0</v>
      </c>
      <c r="AB18" s="28">
        <v>0</v>
      </c>
      <c r="AC18" s="29" t="e">
        <f>AA18/AB18</f>
        <v>#DIV/0!</v>
      </c>
      <c r="AD18" s="29">
        <f>V18</f>
        <v>4498.97</v>
      </c>
      <c r="AE18" s="30" t="s">
        <v>146</v>
      </c>
      <c r="AF18" s="99">
        <v>650000</v>
      </c>
      <c r="AG18" s="102">
        <f>AF18/I18</f>
        <v>72.479928635147189</v>
      </c>
      <c r="AH18" s="103" t="s">
        <v>147</v>
      </c>
      <c r="AI18" s="99">
        <v>150000</v>
      </c>
      <c r="AJ18" s="104">
        <f>AF18+AI18</f>
        <v>800000</v>
      </c>
    </row>
    <row r="19" spans="3:37" s="22" customFormat="1" ht="15" x14ac:dyDescent="0.25">
      <c r="C19" s="23" t="s">
        <v>30</v>
      </c>
      <c r="D19" s="38" t="s">
        <v>31</v>
      </c>
      <c r="E19" s="25">
        <v>8378</v>
      </c>
      <c r="F19" s="26">
        <v>7413</v>
      </c>
      <c r="G19" s="27">
        <f>F19/E19*100</f>
        <v>88.481737884936734</v>
      </c>
      <c r="H19" s="27">
        <f>(F19+T19)/E19*100</f>
        <v>92.002864645500111</v>
      </c>
      <c r="I19" s="28">
        <v>6863</v>
      </c>
      <c r="J19" s="29">
        <f>I19/F19*100</f>
        <v>92.580601645757454</v>
      </c>
      <c r="K19" s="30">
        <v>39</v>
      </c>
      <c r="L19" s="28">
        <v>1100</v>
      </c>
      <c r="M19" s="28">
        <v>2000</v>
      </c>
      <c r="N19" s="28">
        <v>1000</v>
      </c>
      <c r="O19" s="28">
        <v>299271</v>
      </c>
      <c r="P19" s="28">
        <v>297351</v>
      </c>
      <c r="Q19" s="99">
        <v>173379</v>
      </c>
      <c r="R19" s="26">
        <v>5470</v>
      </c>
      <c r="S19" s="100">
        <v>438240</v>
      </c>
      <c r="T19" s="28">
        <v>295</v>
      </c>
      <c r="U19" s="29">
        <f>S19/T19</f>
        <v>1485.5593220338983</v>
      </c>
      <c r="V19" s="29">
        <v>3582.6</v>
      </c>
      <c r="W19" s="30">
        <v>0</v>
      </c>
      <c r="X19" s="28">
        <v>0</v>
      </c>
      <c r="Y19" s="101">
        <f>X19/F19</f>
        <v>0</v>
      </c>
      <c r="Z19" s="28">
        <v>0</v>
      </c>
      <c r="AA19" s="28">
        <v>0</v>
      </c>
      <c r="AB19" s="28">
        <v>0</v>
      </c>
      <c r="AC19" s="29" t="e">
        <f>AA19/AB19</f>
        <v>#DIV/0!</v>
      </c>
      <c r="AD19" s="29">
        <f>V19</f>
        <v>3582.6</v>
      </c>
      <c r="AE19" s="30" t="s">
        <v>148</v>
      </c>
      <c r="AF19" s="99">
        <v>1440000</v>
      </c>
      <c r="AG19" s="102">
        <f>AF19/I19</f>
        <v>209.8207780853854</v>
      </c>
      <c r="AH19" s="114"/>
      <c r="AI19" s="99">
        <v>0</v>
      </c>
      <c r="AJ19" s="104">
        <f>AF19+AI19</f>
        <v>1440000</v>
      </c>
    </row>
    <row r="20" spans="3:37" s="22" customFormat="1" ht="24" customHeight="1" x14ac:dyDescent="0.25">
      <c r="C20" s="68" t="s">
        <v>32</v>
      </c>
      <c r="D20" s="69" t="s">
        <v>33</v>
      </c>
      <c r="E20" s="70">
        <v>57571</v>
      </c>
      <c r="F20" s="71">
        <v>57283</v>
      </c>
      <c r="G20" s="72">
        <f>F20/E20*100</f>
        <v>99.499748137082918</v>
      </c>
      <c r="H20" s="72">
        <f>(F20+T20)/E20*100</f>
        <v>99.888832919351756</v>
      </c>
      <c r="I20" s="73">
        <v>50907</v>
      </c>
      <c r="J20" s="72">
        <f>I20/F20*100</f>
        <v>88.869298046540862</v>
      </c>
      <c r="K20" s="74">
        <v>21.4</v>
      </c>
      <c r="L20" s="73">
        <v>20736</v>
      </c>
      <c r="M20" s="73">
        <v>16000</v>
      </c>
      <c r="N20" s="73">
        <v>7800</v>
      </c>
      <c r="O20" s="73">
        <v>2971487</v>
      </c>
      <c r="P20" s="73">
        <v>2714268</v>
      </c>
      <c r="Q20" s="75">
        <v>1369121</v>
      </c>
      <c r="R20" s="71">
        <v>5365</v>
      </c>
      <c r="S20" s="73">
        <v>2080195</v>
      </c>
      <c r="T20" s="73">
        <v>224</v>
      </c>
      <c r="U20" s="72">
        <f>S20/T20</f>
        <v>9286.5848214285706</v>
      </c>
      <c r="V20" s="72">
        <v>4498.97</v>
      </c>
      <c r="W20" s="134" t="s">
        <v>149</v>
      </c>
      <c r="X20" s="73">
        <v>25000</v>
      </c>
      <c r="Y20" s="132">
        <f>X20/F20</f>
        <v>0.43642965626800273</v>
      </c>
      <c r="Z20" s="73">
        <v>38185</v>
      </c>
      <c r="AA20" s="73">
        <v>15900000</v>
      </c>
      <c r="AB20" s="73">
        <v>1901</v>
      </c>
      <c r="AC20" s="72">
        <f>AA20/AB20</f>
        <v>8364.018937401368</v>
      </c>
      <c r="AD20" s="72">
        <f>V20</f>
        <v>4498.97</v>
      </c>
      <c r="AE20" s="30" t="s">
        <v>150</v>
      </c>
      <c r="AF20" s="99">
        <v>16928000</v>
      </c>
      <c r="AG20" s="133">
        <f>(AF20+AF22)/I20</f>
        <v>340.38540868642821</v>
      </c>
      <c r="AH20" s="134" t="s">
        <v>151</v>
      </c>
      <c r="AI20" s="73">
        <v>100000</v>
      </c>
      <c r="AJ20" s="135">
        <f>S20+X20+AA20+AF20+AF21+AF22+AI20</f>
        <v>35638195</v>
      </c>
    </row>
    <row r="21" spans="3:37" s="22" customFormat="1" ht="15" x14ac:dyDescent="0.25">
      <c r="C21" s="68"/>
      <c r="D21" s="69"/>
      <c r="E21" s="70"/>
      <c r="F21" s="71"/>
      <c r="G21" s="72"/>
      <c r="H21" s="72"/>
      <c r="I21" s="73"/>
      <c r="J21" s="72"/>
      <c r="K21" s="74"/>
      <c r="L21" s="73"/>
      <c r="M21" s="73"/>
      <c r="N21" s="73"/>
      <c r="O21" s="73"/>
      <c r="P21" s="73"/>
      <c r="Q21" s="75"/>
      <c r="R21" s="71"/>
      <c r="S21" s="73"/>
      <c r="T21" s="73"/>
      <c r="U21" s="72"/>
      <c r="V21" s="72"/>
      <c r="W21" s="134"/>
      <c r="X21" s="73"/>
      <c r="Y21" s="132"/>
      <c r="Z21" s="73"/>
      <c r="AA21" s="73"/>
      <c r="AB21" s="73"/>
      <c r="AC21" s="72"/>
      <c r="AD21" s="72"/>
      <c r="AE21" s="30" t="s">
        <v>152</v>
      </c>
      <c r="AF21" s="99">
        <v>205000</v>
      </c>
      <c r="AG21" s="133"/>
      <c r="AH21" s="134"/>
      <c r="AI21" s="73"/>
      <c r="AJ21" s="135"/>
    </row>
    <row r="22" spans="3:37" s="22" customFormat="1" ht="24" x14ac:dyDescent="0.25">
      <c r="C22" s="68"/>
      <c r="D22" s="69"/>
      <c r="E22" s="70"/>
      <c r="F22" s="71"/>
      <c r="G22" s="72"/>
      <c r="H22" s="72"/>
      <c r="I22" s="73"/>
      <c r="J22" s="72"/>
      <c r="K22" s="74"/>
      <c r="L22" s="73"/>
      <c r="M22" s="73"/>
      <c r="N22" s="73"/>
      <c r="O22" s="73"/>
      <c r="P22" s="73"/>
      <c r="Q22" s="75"/>
      <c r="R22" s="71"/>
      <c r="S22" s="73"/>
      <c r="T22" s="73"/>
      <c r="U22" s="72"/>
      <c r="V22" s="72"/>
      <c r="W22" s="134"/>
      <c r="X22" s="73"/>
      <c r="Y22" s="132"/>
      <c r="Z22" s="73"/>
      <c r="AA22" s="73"/>
      <c r="AB22" s="73"/>
      <c r="AC22" s="72"/>
      <c r="AD22" s="72"/>
      <c r="AE22" s="105" t="s">
        <v>142</v>
      </c>
      <c r="AF22" s="99">
        <v>400000</v>
      </c>
      <c r="AG22" s="133"/>
      <c r="AH22" s="134"/>
      <c r="AI22" s="73"/>
      <c r="AJ22" s="135"/>
    </row>
    <row r="23" spans="3:37" s="22" customFormat="1" ht="12.6" customHeight="1" x14ac:dyDescent="0.25">
      <c r="C23" s="68" t="s">
        <v>34</v>
      </c>
      <c r="D23" s="69" t="s">
        <v>35</v>
      </c>
      <c r="E23" s="70">
        <v>22805</v>
      </c>
      <c r="F23" s="71">
        <v>21247</v>
      </c>
      <c r="G23" s="72">
        <f>F23/E23*100</f>
        <v>93.168164876123654</v>
      </c>
      <c r="H23" s="72">
        <f>(F23+T23)/E23*100</f>
        <v>94.07147555360666</v>
      </c>
      <c r="I23" s="73">
        <v>19943</v>
      </c>
      <c r="J23" s="72">
        <f>I23/F23*100</f>
        <v>93.862662964183173</v>
      </c>
      <c r="K23" s="74">
        <v>34</v>
      </c>
      <c r="L23" s="73">
        <v>4900</v>
      </c>
      <c r="M23" s="73">
        <v>12000</v>
      </c>
      <c r="N23" s="73">
        <v>2000</v>
      </c>
      <c r="O23" s="73">
        <v>907484</v>
      </c>
      <c r="P23" s="73">
        <v>876358</v>
      </c>
      <c r="Q23" s="75">
        <v>700980</v>
      </c>
      <c r="R23" s="71">
        <v>4280</v>
      </c>
      <c r="S23" s="73">
        <v>926565</v>
      </c>
      <c r="T23" s="73">
        <v>206</v>
      </c>
      <c r="U23" s="72">
        <f>S23/T23</f>
        <v>4497.8883495145628</v>
      </c>
      <c r="V23" s="72">
        <v>4498.97</v>
      </c>
      <c r="W23" s="74">
        <v>0</v>
      </c>
      <c r="X23" s="73">
        <v>0</v>
      </c>
      <c r="Y23" s="132">
        <f>X23/F23</f>
        <v>0</v>
      </c>
      <c r="Z23" s="73">
        <v>0</v>
      </c>
      <c r="AA23" s="73">
        <v>0</v>
      </c>
      <c r="AB23" s="73">
        <v>0</v>
      </c>
      <c r="AC23" s="72" t="e">
        <f>AA23/AB23</f>
        <v>#DIV/0!</v>
      </c>
      <c r="AD23" s="72">
        <f>V23</f>
        <v>4498.97</v>
      </c>
      <c r="AE23" s="30" t="s">
        <v>153</v>
      </c>
      <c r="AF23" s="99">
        <v>740795</v>
      </c>
      <c r="AG23" s="133">
        <f>(AF23+AF24)/I23</f>
        <v>46.422052850624276</v>
      </c>
      <c r="AH23" s="74">
        <v>0</v>
      </c>
      <c r="AI23" s="73">
        <v>0</v>
      </c>
      <c r="AJ23" s="135">
        <f>S23+X23+AA23+AF23+AF24+AI23</f>
        <v>1852360</v>
      </c>
      <c r="AK23" s="115"/>
    </row>
    <row r="24" spans="3:37" s="22" customFormat="1" ht="24" x14ac:dyDescent="0.25">
      <c r="C24" s="68"/>
      <c r="D24" s="69"/>
      <c r="E24" s="70"/>
      <c r="F24" s="71"/>
      <c r="G24" s="72"/>
      <c r="H24" s="72"/>
      <c r="I24" s="73"/>
      <c r="J24" s="72"/>
      <c r="K24" s="74"/>
      <c r="L24" s="73"/>
      <c r="M24" s="73"/>
      <c r="N24" s="73"/>
      <c r="O24" s="73"/>
      <c r="P24" s="73"/>
      <c r="Q24" s="75"/>
      <c r="R24" s="71"/>
      <c r="S24" s="73"/>
      <c r="T24" s="73"/>
      <c r="U24" s="72"/>
      <c r="V24" s="72"/>
      <c r="W24" s="74"/>
      <c r="X24" s="73"/>
      <c r="Y24" s="132"/>
      <c r="Z24" s="73"/>
      <c r="AA24" s="73"/>
      <c r="AB24" s="73"/>
      <c r="AC24" s="72"/>
      <c r="AD24" s="72"/>
      <c r="AE24" s="105" t="s">
        <v>142</v>
      </c>
      <c r="AF24" s="99">
        <v>185000</v>
      </c>
      <c r="AG24" s="133"/>
      <c r="AH24" s="74"/>
      <c r="AI24" s="73"/>
      <c r="AJ24" s="135"/>
      <c r="AK24" s="115"/>
    </row>
    <row r="25" spans="3:37" s="22" customFormat="1" ht="24" customHeight="1" x14ac:dyDescent="0.25">
      <c r="C25" s="68" t="s">
        <v>36</v>
      </c>
      <c r="D25" s="69" t="s">
        <v>37</v>
      </c>
      <c r="E25" s="70">
        <v>55575</v>
      </c>
      <c r="F25" s="71">
        <v>49152</v>
      </c>
      <c r="G25" s="72">
        <f>F25/E25*100</f>
        <v>88.442645074224018</v>
      </c>
      <c r="H25" s="72">
        <f>(F25+T25)/E25*100</f>
        <v>89.342330184435454</v>
      </c>
      <c r="I25" s="73">
        <v>38411</v>
      </c>
      <c r="J25" s="72">
        <f>I25/F25*100</f>
        <v>78.147379557291657</v>
      </c>
      <c r="K25" s="74">
        <v>26</v>
      </c>
      <c r="L25" s="73">
        <v>37827</v>
      </c>
      <c r="M25" s="73">
        <v>19374</v>
      </c>
      <c r="N25" s="73">
        <v>4700</v>
      </c>
      <c r="O25" s="73">
        <v>2913481</v>
      </c>
      <c r="P25" s="73">
        <v>2558090</v>
      </c>
      <c r="Q25" s="75">
        <v>1908752</v>
      </c>
      <c r="R25" s="71">
        <v>6900</v>
      </c>
      <c r="S25" s="73">
        <v>3000000</v>
      </c>
      <c r="T25" s="73">
        <v>500</v>
      </c>
      <c r="U25" s="72">
        <f>S25/T25</f>
        <v>6000</v>
      </c>
      <c r="V25" s="72">
        <v>5096.43</v>
      </c>
      <c r="W25" s="105" t="s">
        <v>154</v>
      </c>
      <c r="X25" s="28">
        <v>1000000</v>
      </c>
      <c r="Y25" s="132">
        <f>X25/F25</f>
        <v>20.345052083333332</v>
      </c>
      <c r="Z25" s="73">
        <v>4500</v>
      </c>
      <c r="AA25" s="73">
        <v>3000000</v>
      </c>
      <c r="AB25" s="73">
        <v>0</v>
      </c>
      <c r="AC25" s="72" t="e">
        <f>AA25/AB25</f>
        <v>#DIV/0!</v>
      </c>
      <c r="AD25" s="72">
        <f>V25</f>
        <v>5096.43</v>
      </c>
      <c r="AE25" s="30" t="s">
        <v>155</v>
      </c>
      <c r="AF25" s="99">
        <v>3500000</v>
      </c>
      <c r="AG25" s="133">
        <f>(AF25+AF26)/I25</f>
        <v>143.18814922808571</v>
      </c>
      <c r="AH25" s="134" t="s">
        <v>156</v>
      </c>
      <c r="AI25" s="73">
        <v>53000</v>
      </c>
      <c r="AJ25" s="135">
        <f>S25+X25+X26+AA25+AF25+AF26+AI25</f>
        <v>14353000</v>
      </c>
    </row>
    <row r="26" spans="3:37" s="22" customFormat="1" ht="36" x14ac:dyDescent="0.25">
      <c r="C26" s="68"/>
      <c r="D26" s="69"/>
      <c r="E26" s="70"/>
      <c r="F26" s="71"/>
      <c r="G26" s="72"/>
      <c r="H26" s="72"/>
      <c r="I26" s="73"/>
      <c r="J26" s="72"/>
      <c r="K26" s="74"/>
      <c r="L26" s="73"/>
      <c r="M26" s="73"/>
      <c r="N26" s="73"/>
      <c r="O26" s="73"/>
      <c r="P26" s="73"/>
      <c r="Q26" s="75"/>
      <c r="R26" s="71"/>
      <c r="S26" s="73"/>
      <c r="T26" s="73"/>
      <c r="U26" s="72"/>
      <c r="V26" s="72"/>
      <c r="W26" s="105" t="s">
        <v>157</v>
      </c>
      <c r="X26" s="28">
        <v>1800000</v>
      </c>
      <c r="Y26" s="132"/>
      <c r="Z26" s="73"/>
      <c r="AA26" s="73"/>
      <c r="AB26" s="73"/>
      <c r="AC26" s="72"/>
      <c r="AD26" s="72"/>
      <c r="AE26" s="105" t="s">
        <v>158</v>
      </c>
      <c r="AF26" s="99">
        <v>2000000</v>
      </c>
      <c r="AG26" s="133"/>
      <c r="AH26" s="134"/>
      <c r="AI26" s="73"/>
      <c r="AJ26" s="135"/>
    </row>
    <row r="27" spans="3:37" s="22" customFormat="1" ht="36" x14ac:dyDescent="0.25">
      <c r="C27" s="23" t="s">
        <v>38</v>
      </c>
      <c r="D27" s="38" t="s">
        <v>39</v>
      </c>
      <c r="E27" s="25">
        <v>8878</v>
      </c>
      <c r="F27" s="26">
        <v>8690</v>
      </c>
      <c r="G27" s="27">
        <f>F27/E27*100</f>
        <v>97.88240594728542</v>
      </c>
      <c r="H27" s="27">
        <f>(F27+T27)/E27*100</f>
        <v>99.909889614778109</v>
      </c>
      <c r="I27" s="28">
        <v>7325</v>
      </c>
      <c r="J27" s="29">
        <f>I27/F27*100</f>
        <v>84.292289988492513</v>
      </c>
      <c r="K27" s="30" t="s">
        <v>25</v>
      </c>
      <c r="L27" s="28">
        <v>165</v>
      </c>
      <c r="M27" s="28">
        <v>2000</v>
      </c>
      <c r="N27" s="28">
        <v>1000</v>
      </c>
      <c r="O27" s="28">
        <v>341690</v>
      </c>
      <c r="P27" s="28">
        <v>315470</v>
      </c>
      <c r="Q27" s="99">
        <v>165412</v>
      </c>
      <c r="R27" s="26">
        <v>4840</v>
      </c>
      <c r="S27" s="100">
        <v>532400</v>
      </c>
      <c r="T27" s="28">
        <v>180</v>
      </c>
      <c r="U27" s="29">
        <f>S27/T27</f>
        <v>2957.7777777777778</v>
      </c>
      <c r="V27" s="29">
        <v>3214.12</v>
      </c>
      <c r="W27" s="105" t="s">
        <v>159</v>
      </c>
      <c r="X27" s="28">
        <v>175000</v>
      </c>
      <c r="Y27" s="101">
        <f>X27/F27</f>
        <v>20.138089758342922</v>
      </c>
      <c r="Z27" s="28">
        <v>0</v>
      </c>
      <c r="AA27" s="28">
        <v>0</v>
      </c>
      <c r="AB27" s="28">
        <v>0</v>
      </c>
      <c r="AC27" s="29" t="e">
        <f>AA27/AB27</f>
        <v>#DIV/0!</v>
      </c>
      <c r="AD27" s="29">
        <f>V27</f>
        <v>3214.12</v>
      </c>
      <c r="AE27" s="30">
        <v>0</v>
      </c>
      <c r="AF27" s="99">
        <v>0</v>
      </c>
      <c r="AG27" s="102">
        <f>AF27/I27</f>
        <v>0</v>
      </c>
      <c r="AH27" s="114">
        <v>0</v>
      </c>
      <c r="AI27" s="99">
        <v>0</v>
      </c>
      <c r="AJ27" s="104">
        <f>S27+X27+AA27+AF27+AI27</f>
        <v>707400</v>
      </c>
    </row>
    <row r="28" spans="3:37" s="22" customFormat="1" ht="15" x14ac:dyDescent="0.25">
      <c r="C28" s="23" t="s">
        <v>40</v>
      </c>
      <c r="D28" s="38" t="s">
        <v>41</v>
      </c>
      <c r="E28" s="25">
        <v>11237</v>
      </c>
      <c r="F28" s="26">
        <v>10981</v>
      </c>
      <c r="G28" s="27">
        <f>F28/E28*100</f>
        <v>97.721811871495959</v>
      </c>
      <c r="H28" s="27">
        <f>(F28+T28)/E28*100</f>
        <v>100</v>
      </c>
      <c r="I28" s="28">
        <v>10197</v>
      </c>
      <c r="J28" s="29">
        <f>I28/F28*100</f>
        <v>92.860395228121291</v>
      </c>
      <c r="K28" s="30">
        <v>13.9</v>
      </c>
      <c r="L28" s="28">
        <v>4000</v>
      </c>
      <c r="M28" s="28">
        <v>3800</v>
      </c>
      <c r="N28" s="28">
        <v>1000</v>
      </c>
      <c r="O28" s="28">
        <v>389357</v>
      </c>
      <c r="P28" s="28">
        <v>367097</v>
      </c>
      <c r="Q28" s="99">
        <v>206045</v>
      </c>
      <c r="R28" s="26">
        <v>6680</v>
      </c>
      <c r="S28" s="100">
        <v>1941000</v>
      </c>
      <c r="T28" s="28">
        <v>256</v>
      </c>
      <c r="U28" s="29">
        <f>S28/T28</f>
        <v>7582.03125</v>
      </c>
      <c r="V28" s="29">
        <v>4186.96</v>
      </c>
      <c r="W28" s="30">
        <v>0</v>
      </c>
      <c r="X28" s="28">
        <v>0</v>
      </c>
      <c r="Y28" s="101">
        <f>X28/F28</f>
        <v>0</v>
      </c>
      <c r="Z28" s="28">
        <v>0</v>
      </c>
      <c r="AA28" s="28">
        <v>0</v>
      </c>
      <c r="AB28" s="28">
        <v>0</v>
      </c>
      <c r="AC28" s="29" t="e">
        <f>AA28/AB28</f>
        <v>#DIV/0!</v>
      </c>
      <c r="AD28" s="29">
        <f>V28</f>
        <v>4186.96</v>
      </c>
      <c r="AE28" s="30" t="s">
        <v>160</v>
      </c>
      <c r="AF28" s="99">
        <v>3063587</v>
      </c>
      <c r="AG28" s="102">
        <f>AF28/I28</f>
        <v>300.44003138177897</v>
      </c>
      <c r="AH28" s="114" t="s">
        <v>161</v>
      </c>
      <c r="AI28" s="99">
        <v>50000</v>
      </c>
      <c r="AJ28" s="104">
        <f>S28+X28+AA28+AF28+AI28</f>
        <v>5054587</v>
      </c>
    </row>
    <row r="29" spans="3:37" s="22" customFormat="1" ht="24" customHeight="1" x14ac:dyDescent="0.25">
      <c r="C29" s="68" t="s">
        <v>42</v>
      </c>
      <c r="D29" s="69" t="s">
        <v>43</v>
      </c>
      <c r="E29" s="70">
        <v>10120</v>
      </c>
      <c r="F29" s="71">
        <v>9648</v>
      </c>
      <c r="G29" s="72">
        <f>F29/E29*100</f>
        <v>95.335968379446641</v>
      </c>
      <c r="H29" s="72">
        <f>(F29+T29)/E29*100</f>
        <v>97.292490118577078</v>
      </c>
      <c r="I29" s="73">
        <v>9132</v>
      </c>
      <c r="J29" s="72">
        <f>I29/F29*100</f>
        <v>94.651741293532339</v>
      </c>
      <c r="K29" s="74">
        <v>17.36</v>
      </c>
      <c r="L29" s="73">
        <v>900</v>
      </c>
      <c r="M29" s="73">
        <v>910</v>
      </c>
      <c r="N29" s="73">
        <v>0</v>
      </c>
      <c r="O29" s="73">
        <v>295549</v>
      </c>
      <c r="P29" s="73">
        <v>295549</v>
      </c>
      <c r="Q29" s="75">
        <v>265811</v>
      </c>
      <c r="R29" s="71">
        <v>1900</v>
      </c>
      <c r="S29" s="73">
        <v>378300</v>
      </c>
      <c r="T29" s="73">
        <v>198</v>
      </c>
      <c r="U29" s="72">
        <f>S29/T29</f>
        <v>1910.6060606060605</v>
      </c>
      <c r="V29" s="72">
        <v>5096.43</v>
      </c>
      <c r="W29" s="134" t="s">
        <v>162</v>
      </c>
      <c r="X29" s="73">
        <v>278400</v>
      </c>
      <c r="Y29" s="132">
        <f>X29/F29</f>
        <v>28.855721393034827</v>
      </c>
      <c r="Z29" s="73">
        <v>22600</v>
      </c>
      <c r="AA29" s="73">
        <v>4001350</v>
      </c>
      <c r="AB29" s="73">
        <v>1850</v>
      </c>
      <c r="AC29" s="72">
        <f>AA29/AB29</f>
        <v>2162.8918918918921</v>
      </c>
      <c r="AD29" s="72">
        <f>V29</f>
        <v>5096.43</v>
      </c>
      <c r="AE29" s="30" t="s">
        <v>163</v>
      </c>
      <c r="AF29" s="99">
        <v>1905700</v>
      </c>
      <c r="AG29" s="133">
        <f>(AF29+AF30)/I29</f>
        <v>209.143670608848</v>
      </c>
      <c r="AH29" s="74">
        <v>0</v>
      </c>
      <c r="AI29" s="73">
        <v>0</v>
      </c>
      <c r="AJ29" s="135">
        <f>S29+X29+AA29+AF29+AF30+AI29</f>
        <v>6567950</v>
      </c>
    </row>
    <row r="30" spans="3:37" s="22" customFormat="1" ht="15" x14ac:dyDescent="0.25">
      <c r="C30" s="68"/>
      <c r="D30" s="69"/>
      <c r="E30" s="70"/>
      <c r="F30" s="71"/>
      <c r="G30" s="72"/>
      <c r="H30" s="72"/>
      <c r="I30" s="73"/>
      <c r="J30" s="72"/>
      <c r="K30" s="74"/>
      <c r="L30" s="73"/>
      <c r="M30" s="73"/>
      <c r="N30" s="73"/>
      <c r="O30" s="73"/>
      <c r="P30" s="73"/>
      <c r="Q30" s="75"/>
      <c r="R30" s="71"/>
      <c r="S30" s="73"/>
      <c r="T30" s="73"/>
      <c r="U30" s="72"/>
      <c r="V30" s="72"/>
      <c r="W30" s="134"/>
      <c r="X30" s="73"/>
      <c r="Y30" s="132"/>
      <c r="Z30" s="73"/>
      <c r="AA30" s="73"/>
      <c r="AB30" s="73"/>
      <c r="AC30" s="72"/>
      <c r="AD30" s="72"/>
      <c r="AE30" s="30" t="s">
        <v>164</v>
      </c>
      <c r="AF30" s="99">
        <v>4200</v>
      </c>
      <c r="AG30" s="133"/>
      <c r="AH30" s="74"/>
      <c r="AI30" s="73"/>
      <c r="AJ30" s="135"/>
    </row>
    <row r="31" spans="3:37" s="22" customFormat="1" ht="15" x14ac:dyDescent="0.25">
      <c r="C31" s="23" t="s">
        <v>44</v>
      </c>
      <c r="D31" s="38" t="s">
        <v>45</v>
      </c>
      <c r="E31" s="25">
        <v>74637</v>
      </c>
      <c r="F31" s="26">
        <v>74570</v>
      </c>
      <c r="G31" s="27">
        <f>F31/E31*100</f>
        <v>99.910232190468534</v>
      </c>
      <c r="H31" s="27">
        <f>(F31+T31)/E31*100</f>
        <v>99.910232190468534</v>
      </c>
      <c r="I31" s="28">
        <v>74500</v>
      </c>
      <c r="J31" s="29">
        <f>I31/F31*100</f>
        <v>99.906128469894057</v>
      </c>
      <c r="K31" s="30">
        <v>15</v>
      </c>
      <c r="L31" s="28">
        <v>26700</v>
      </c>
      <c r="M31" s="28">
        <v>32880</v>
      </c>
      <c r="N31" s="28">
        <v>20000</v>
      </c>
      <c r="O31" s="28">
        <v>3263878</v>
      </c>
      <c r="P31" s="28">
        <v>3213410</v>
      </c>
      <c r="Q31" s="99">
        <v>769328</v>
      </c>
      <c r="R31" s="26">
        <v>0</v>
      </c>
      <c r="S31" s="100">
        <v>0</v>
      </c>
      <c r="T31" s="28">
        <v>0</v>
      </c>
      <c r="U31" s="29" t="e">
        <f>S31/T31</f>
        <v>#DIV/0!</v>
      </c>
      <c r="V31" s="29">
        <v>4186.96</v>
      </c>
      <c r="W31" s="30">
        <v>0</v>
      </c>
      <c r="X31" s="28">
        <v>0</v>
      </c>
      <c r="Y31" s="101">
        <f>X31/F31</f>
        <v>0</v>
      </c>
      <c r="Z31" s="28">
        <v>0</v>
      </c>
      <c r="AA31" s="28">
        <v>0</v>
      </c>
      <c r="AB31" s="28">
        <v>0</v>
      </c>
      <c r="AC31" s="29" t="e">
        <f>AA31/AB31</f>
        <v>#DIV/0!</v>
      </c>
      <c r="AD31" s="29">
        <f>V31</f>
        <v>4186.96</v>
      </c>
      <c r="AE31" s="30" t="s">
        <v>165</v>
      </c>
      <c r="AF31" s="99">
        <v>8000000</v>
      </c>
      <c r="AG31" s="102">
        <f>AF31/I31</f>
        <v>107.38255033557047</v>
      </c>
      <c r="AH31" s="114" t="s">
        <v>161</v>
      </c>
      <c r="AI31" s="99">
        <v>1200000</v>
      </c>
      <c r="AJ31" s="104">
        <f>S31+X31+AA31+AF31+AI31</f>
        <v>9200000</v>
      </c>
    </row>
    <row r="32" spans="3:37" s="22" customFormat="1" ht="27.6" customHeight="1" x14ac:dyDescent="0.25">
      <c r="C32" s="23" t="s">
        <v>46</v>
      </c>
      <c r="D32" s="38" t="s">
        <v>47</v>
      </c>
      <c r="E32" s="25">
        <v>7297</v>
      </c>
      <c r="F32" s="26">
        <v>7115</v>
      </c>
      <c r="G32" s="27">
        <f>F32/E32*100</f>
        <v>97.50582431136084</v>
      </c>
      <c r="H32" s="27">
        <f>(F32+T32)/E32*100</f>
        <v>98.519939701247083</v>
      </c>
      <c r="I32" s="28">
        <v>6599</v>
      </c>
      <c r="J32" s="29">
        <f>I32/F32*100</f>
        <v>92.747716092761763</v>
      </c>
      <c r="K32" s="30">
        <v>38</v>
      </c>
      <c r="L32" s="28">
        <v>1125</v>
      </c>
      <c r="M32" s="28">
        <v>1240</v>
      </c>
      <c r="N32" s="28">
        <v>520</v>
      </c>
      <c r="O32" s="28">
        <v>353736</v>
      </c>
      <c r="P32" s="28">
        <v>344894</v>
      </c>
      <c r="Q32" s="99">
        <v>189574</v>
      </c>
      <c r="R32" s="26">
        <v>1880</v>
      </c>
      <c r="S32" s="100">
        <v>384400</v>
      </c>
      <c r="T32" s="28">
        <v>74</v>
      </c>
      <c r="U32" s="29">
        <f>S32/T32</f>
        <v>5194.594594594595</v>
      </c>
      <c r="V32" s="29">
        <v>5096.43</v>
      </c>
      <c r="W32" s="30">
        <v>0</v>
      </c>
      <c r="X32" s="28">
        <v>0</v>
      </c>
      <c r="Y32" s="101">
        <f>X32/F32</f>
        <v>0</v>
      </c>
      <c r="Z32" s="28">
        <v>0</v>
      </c>
      <c r="AA32" s="28">
        <v>0</v>
      </c>
      <c r="AB32" s="28">
        <v>0</v>
      </c>
      <c r="AC32" s="29" t="e">
        <f>AA32/AB32</f>
        <v>#DIV/0!</v>
      </c>
      <c r="AD32" s="29">
        <f>V32</f>
        <v>5096.43</v>
      </c>
      <c r="AE32" s="30">
        <v>0</v>
      </c>
      <c r="AF32" s="99">
        <v>0</v>
      </c>
      <c r="AG32" s="102">
        <f>AF32/I32</f>
        <v>0</v>
      </c>
      <c r="AH32" s="103" t="s">
        <v>166</v>
      </c>
      <c r="AI32" s="99">
        <v>20000</v>
      </c>
      <c r="AJ32" s="104">
        <f>S32+X32+AA32+AF32+AI32</f>
        <v>404400</v>
      </c>
    </row>
    <row r="33" spans="3:36" s="22" customFormat="1" ht="15" x14ac:dyDescent="0.25">
      <c r="C33" s="68" t="s">
        <v>48</v>
      </c>
      <c r="D33" s="69" t="s">
        <v>49</v>
      </c>
      <c r="E33" s="70">
        <v>8071</v>
      </c>
      <c r="F33" s="71">
        <v>8071</v>
      </c>
      <c r="G33" s="72">
        <f>F33/E33*100</f>
        <v>100</v>
      </c>
      <c r="H33" s="72">
        <f>(F33+T33)/E33*100</f>
        <v>100</v>
      </c>
      <c r="I33" s="73">
        <v>7578</v>
      </c>
      <c r="J33" s="72">
        <f>I33/F33*100</f>
        <v>93.891711064304289</v>
      </c>
      <c r="K33" s="74">
        <v>10.7</v>
      </c>
      <c r="L33" s="73">
        <v>6120</v>
      </c>
      <c r="M33" s="73">
        <v>5184</v>
      </c>
      <c r="N33" s="73">
        <v>700</v>
      </c>
      <c r="O33" s="73">
        <v>297101</v>
      </c>
      <c r="P33" s="73">
        <v>286787</v>
      </c>
      <c r="Q33" s="75">
        <v>153208</v>
      </c>
      <c r="R33" s="71">
        <v>0</v>
      </c>
      <c r="S33" s="73">
        <v>0</v>
      </c>
      <c r="T33" s="73">
        <v>0</v>
      </c>
      <c r="U33" s="72" t="e">
        <f>S33/T33</f>
        <v>#DIV/0!</v>
      </c>
      <c r="V33" s="72">
        <v>3582.6</v>
      </c>
      <c r="W33" s="74">
        <v>0</v>
      </c>
      <c r="X33" s="73">
        <v>0</v>
      </c>
      <c r="Y33" s="132">
        <f>X33/F33</f>
        <v>0</v>
      </c>
      <c r="Z33" s="73">
        <v>0</v>
      </c>
      <c r="AA33" s="73">
        <v>0</v>
      </c>
      <c r="AB33" s="73">
        <v>0</v>
      </c>
      <c r="AC33" s="72" t="e">
        <f>AA33/AB33</f>
        <v>#DIV/0!</v>
      </c>
      <c r="AD33" s="72">
        <f>V33</f>
        <v>3582.6</v>
      </c>
      <c r="AE33" s="30" t="s">
        <v>167</v>
      </c>
      <c r="AF33" s="99">
        <v>900000</v>
      </c>
      <c r="AG33" s="133">
        <f>AF33/I33</f>
        <v>118.76484560570071</v>
      </c>
      <c r="AH33" s="74">
        <v>0</v>
      </c>
      <c r="AI33" s="73">
        <v>0</v>
      </c>
      <c r="AJ33" s="135">
        <f>S33+X33+AA33+AF34+AI33+AF33</f>
        <v>1010500</v>
      </c>
    </row>
    <row r="34" spans="3:36" s="22" customFormat="1" ht="48" x14ac:dyDescent="0.25">
      <c r="C34" s="68"/>
      <c r="D34" s="69"/>
      <c r="E34" s="70"/>
      <c r="F34" s="71"/>
      <c r="G34" s="72"/>
      <c r="H34" s="72"/>
      <c r="I34" s="73"/>
      <c r="J34" s="72"/>
      <c r="K34" s="74"/>
      <c r="L34" s="73"/>
      <c r="M34" s="73"/>
      <c r="N34" s="73"/>
      <c r="O34" s="73"/>
      <c r="P34" s="73"/>
      <c r="Q34" s="75"/>
      <c r="R34" s="71"/>
      <c r="S34" s="73"/>
      <c r="T34" s="73"/>
      <c r="U34" s="72"/>
      <c r="V34" s="72"/>
      <c r="W34" s="74"/>
      <c r="X34" s="73"/>
      <c r="Y34" s="132"/>
      <c r="Z34" s="73"/>
      <c r="AA34" s="73"/>
      <c r="AB34" s="73"/>
      <c r="AC34" s="72"/>
      <c r="AD34" s="72"/>
      <c r="AE34" s="105" t="s">
        <v>168</v>
      </c>
      <c r="AF34" s="99">
        <v>110500</v>
      </c>
      <c r="AG34" s="133"/>
      <c r="AH34" s="74"/>
      <c r="AI34" s="73"/>
      <c r="AJ34" s="135"/>
    </row>
    <row r="35" spans="3:36" s="22" customFormat="1" ht="24" x14ac:dyDescent="0.25">
      <c r="C35" s="23" t="s">
        <v>50</v>
      </c>
      <c r="D35" s="38" t="s">
        <v>51</v>
      </c>
      <c r="E35" s="25">
        <v>18964</v>
      </c>
      <c r="F35" s="26">
        <v>17674</v>
      </c>
      <c r="G35" s="27">
        <f t="shared" ref="G35:G45" si="0">F35/E35*100</f>
        <v>93.197637629192158</v>
      </c>
      <c r="H35" s="27">
        <f t="shared" ref="H35:H45" si="1">(F35+T35)/E35*100</f>
        <v>94.225901708500317</v>
      </c>
      <c r="I35" s="28">
        <v>16342</v>
      </c>
      <c r="J35" s="29">
        <f t="shared" ref="J35:J45" si="2">I35/F35*100</f>
        <v>92.463505714609028</v>
      </c>
      <c r="K35" s="30">
        <v>12</v>
      </c>
      <c r="L35" s="28">
        <v>9418</v>
      </c>
      <c r="M35" s="28">
        <v>6996</v>
      </c>
      <c r="N35" s="28">
        <v>2400</v>
      </c>
      <c r="O35" s="28">
        <v>1027357</v>
      </c>
      <c r="P35" s="28">
        <v>1027357</v>
      </c>
      <c r="Q35" s="99">
        <v>691528</v>
      </c>
      <c r="R35" s="26">
        <v>3120</v>
      </c>
      <c r="S35" s="100">
        <v>582000</v>
      </c>
      <c r="T35" s="28">
        <v>195</v>
      </c>
      <c r="U35" s="29">
        <f t="shared" ref="U35:U45" si="3">S35/T35</f>
        <v>2984.6153846153848</v>
      </c>
      <c r="V35" s="29">
        <v>5096.43</v>
      </c>
      <c r="W35" s="105" t="s">
        <v>162</v>
      </c>
      <c r="X35" s="28">
        <v>450000</v>
      </c>
      <c r="Y35" s="101">
        <f t="shared" ref="Y35:Y45" si="4">X35/F35</f>
        <v>25.46112934253706</v>
      </c>
      <c r="Z35" s="28">
        <v>0</v>
      </c>
      <c r="AA35" s="28">
        <v>0</v>
      </c>
      <c r="AB35" s="28">
        <v>0</v>
      </c>
      <c r="AC35" s="29" t="e">
        <f t="shared" ref="AC35:AC45" si="5">AA35/AB35</f>
        <v>#DIV/0!</v>
      </c>
      <c r="AD35" s="29">
        <f t="shared" ref="AD35:AD45" si="6">V35</f>
        <v>5096.43</v>
      </c>
      <c r="AE35" s="30" t="s">
        <v>169</v>
      </c>
      <c r="AF35" s="99">
        <v>114000</v>
      </c>
      <c r="AG35" s="102">
        <f t="shared" ref="AG35:AG45" si="7">AF35/I35</f>
        <v>6.975890343899156</v>
      </c>
      <c r="AH35" s="114">
        <v>0</v>
      </c>
      <c r="AI35" s="99">
        <v>0</v>
      </c>
      <c r="AJ35" s="104">
        <f t="shared" ref="AJ35:AJ45" si="8">S35+X35+AA35+AF35+AI35</f>
        <v>1146000</v>
      </c>
    </row>
    <row r="36" spans="3:36" s="22" customFormat="1" ht="15" x14ac:dyDescent="0.25">
      <c r="C36" s="23" t="s">
        <v>52</v>
      </c>
      <c r="D36" s="38" t="s">
        <v>53</v>
      </c>
      <c r="E36" s="25">
        <v>21608</v>
      </c>
      <c r="F36" s="26">
        <v>20830</v>
      </c>
      <c r="G36" s="27">
        <f t="shared" si="0"/>
        <v>96.399481673454275</v>
      </c>
      <c r="H36" s="27">
        <f t="shared" si="1"/>
        <v>96.399481673454275</v>
      </c>
      <c r="I36" s="28">
        <v>18455</v>
      </c>
      <c r="J36" s="29">
        <f t="shared" si="2"/>
        <v>88.598175708113303</v>
      </c>
      <c r="K36" s="30">
        <v>23.5</v>
      </c>
      <c r="L36" s="39">
        <v>4500</v>
      </c>
      <c r="M36" s="39">
        <v>6500</v>
      </c>
      <c r="N36" s="28">
        <v>0</v>
      </c>
      <c r="O36" s="28">
        <v>982483</v>
      </c>
      <c r="P36" s="28">
        <v>1004000</v>
      </c>
      <c r="Q36" s="99">
        <v>538711</v>
      </c>
      <c r="R36" s="26">
        <v>0</v>
      </c>
      <c r="S36" s="100">
        <v>0</v>
      </c>
      <c r="T36" s="28">
        <v>0</v>
      </c>
      <c r="U36" s="29" t="e">
        <f t="shared" si="3"/>
        <v>#DIV/0!</v>
      </c>
      <c r="V36" s="29">
        <v>5096.43</v>
      </c>
      <c r="W36" s="30">
        <v>0</v>
      </c>
      <c r="X36" s="28">
        <v>0</v>
      </c>
      <c r="Y36" s="101">
        <f t="shared" si="4"/>
        <v>0</v>
      </c>
      <c r="Z36" s="28">
        <v>22200</v>
      </c>
      <c r="AA36" s="28">
        <v>4920000</v>
      </c>
      <c r="AB36" s="28">
        <v>1900</v>
      </c>
      <c r="AC36" s="29">
        <f t="shared" si="5"/>
        <v>2589.4736842105262</v>
      </c>
      <c r="AD36" s="29">
        <f t="shared" si="6"/>
        <v>5096.43</v>
      </c>
      <c r="AE36" s="30" t="s">
        <v>170</v>
      </c>
      <c r="AF36" s="99">
        <v>2450000</v>
      </c>
      <c r="AG36" s="102">
        <f t="shared" si="7"/>
        <v>132.75535085342725</v>
      </c>
      <c r="AH36" s="114">
        <v>0</v>
      </c>
      <c r="AI36" s="99">
        <v>0</v>
      </c>
      <c r="AJ36" s="104">
        <f t="shared" si="8"/>
        <v>7370000</v>
      </c>
    </row>
    <row r="37" spans="3:36" s="22" customFormat="1" ht="15" x14ac:dyDescent="0.25">
      <c r="C37" s="23" t="s">
        <v>54</v>
      </c>
      <c r="D37" s="38" t="s">
        <v>55</v>
      </c>
      <c r="E37" s="25">
        <v>10594</v>
      </c>
      <c r="F37" s="26">
        <v>10594</v>
      </c>
      <c r="G37" s="27">
        <f t="shared" si="0"/>
        <v>100</v>
      </c>
      <c r="H37" s="27">
        <f t="shared" si="1"/>
        <v>100</v>
      </c>
      <c r="I37" s="28">
        <v>10594</v>
      </c>
      <c r="J37" s="29">
        <f t="shared" si="2"/>
        <v>100</v>
      </c>
      <c r="K37" s="30">
        <v>1.2</v>
      </c>
      <c r="L37" s="28">
        <v>6000</v>
      </c>
      <c r="M37" s="28">
        <v>3000</v>
      </c>
      <c r="N37" s="28">
        <v>3000</v>
      </c>
      <c r="O37" s="28">
        <v>826955</v>
      </c>
      <c r="P37" s="28">
        <v>649992</v>
      </c>
      <c r="Q37" s="99">
        <v>920800</v>
      </c>
      <c r="R37" s="26">
        <v>1500</v>
      </c>
      <c r="S37" s="100">
        <v>252400</v>
      </c>
      <c r="T37" s="28">
        <v>0</v>
      </c>
      <c r="U37" s="29" t="e">
        <f t="shared" si="3"/>
        <v>#DIV/0!</v>
      </c>
      <c r="V37" s="29">
        <v>5096.43</v>
      </c>
      <c r="W37" s="30">
        <v>0</v>
      </c>
      <c r="X37" s="28">
        <v>0</v>
      </c>
      <c r="Y37" s="101">
        <f t="shared" si="4"/>
        <v>0</v>
      </c>
      <c r="Z37" s="28">
        <v>0</v>
      </c>
      <c r="AA37" s="28">
        <v>0</v>
      </c>
      <c r="AB37" s="28">
        <v>0</v>
      </c>
      <c r="AC37" s="29" t="e">
        <f t="shared" si="5"/>
        <v>#DIV/0!</v>
      </c>
      <c r="AD37" s="29">
        <f t="shared" si="6"/>
        <v>5096.43</v>
      </c>
      <c r="AE37" s="30" t="s">
        <v>171</v>
      </c>
      <c r="AF37" s="99">
        <v>187200</v>
      </c>
      <c r="AG37" s="102">
        <f t="shared" si="7"/>
        <v>17.670379460071739</v>
      </c>
      <c r="AH37" s="114">
        <v>0</v>
      </c>
      <c r="AI37" s="99">
        <v>0</v>
      </c>
      <c r="AJ37" s="104">
        <f t="shared" si="8"/>
        <v>439600</v>
      </c>
    </row>
    <row r="38" spans="3:36" s="22" customFormat="1" ht="15" x14ac:dyDescent="0.25">
      <c r="C38" s="23" t="s">
        <v>56</v>
      </c>
      <c r="D38" s="38" t="s">
        <v>57</v>
      </c>
      <c r="E38" s="25">
        <v>29592</v>
      </c>
      <c r="F38" s="26">
        <v>29264</v>
      </c>
      <c r="G38" s="27">
        <f t="shared" si="0"/>
        <v>98.891592322249252</v>
      </c>
      <c r="H38" s="27">
        <f t="shared" si="1"/>
        <v>98.891592322249252</v>
      </c>
      <c r="I38" s="28">
        <v>29442</v>
      </c>
      <c r="J38" s="29">
        <f t="shared" si="2"/>
        <v>100.60825587752871</v>
      </c>
      <c r="K38" s="30">
        <v>33</v>
      </c>
      <c r="L38" s="28">
        <v>8670</v>
      </c>
      <c r="M38" s="28">
        <v>8670</v>
      </c>
      <c r="N38" s="28">
        <v>2200</v>
      </c>
      <c r="O38" s="28" t="s">
        <v>25</v>
      </c>
      <c r="P38" s="28" t="s">
        <v>25</v>
      </c>
      <c r="Q38" s="99">
        <v>1041307</v>
      </c>
      <c r="R38" s="26">
        <v>0</v>
      </c>
      <c r="S38" s="100">
        <v>0</v>
      </c>
      <c r="T38" s="28">
        <v>0</v>
      </c>
      <c r="U38" s="29" t="e">
        <f t="shared" si="3"/>
        <v>#DIV/0!</v>
      </c>
      <c r="V38" s="29">
        <v>3214.12</v>
      </c>
      <c r="W38" s="30">
        <v>0</v>
      </c>
      <c r="X38" s="28">
        <v>0</v>
      </c>
      <c r="Y38" s="101">
        <f t="shared" si="4"/>
        <v>0</v>
      </c>
      <c r="Z38" s="28">
        <v>0</v>
      </c>
      <c r="AA38" s="28">
        <v>0</v>
      </c>
      <c r="AB38" s="28">
        <v>0</v>
      </c>
      <c r="AC38" s="29" t="e">
        <f t="shared" si="5"/>
        <v>#DIV/0!</v>
      </c>
      <c r="AD38" s="29">
        <f t="shared" si="6"/>
        <v>3214.12</v>
      </c>
      <c r="AE38" s="30" t="s">
        <v>172</v>
      </c>
      <c r="AF38" s="99">
        <v>2000000</v>
      </c>
      <c r="AG38" s="102">
        <f t="shared" si="7"/>
        <v>67.930167787514435</v>
      </c>
      <c r="AH38" s="114">
        <v>0</v>
      </c>
      <c r="AI38" s="99">
        <v>0</v>
      </c>
      <c r="AJ38" s="104">
        <f t="shared" si="8"/>
        <v>2000000</v>
      </c>
    </row>
    <row r="39" spans="3:36" s="22" customFormat="1" ht="15" x14ac:dyDescent="0.25">
      <c r="C39" s="23">
        <v>20</v>
      </c>
      <c r="D39" s="38" t="s">
        <v>58</v>
      </c>
      <c r="E39" s="25">
        <v>19642</v>
      </c>
      <c r="F39" s="26">
        <v>18995</v>
      </c>
      <c r="G39" s="27">
        <f t="shared" si="0"/>
        <v>96.706038081661745</v>
      </c>
      <c r="H39" s="27">
        <f t="shared" si="1"/>
        <v>97.836269219020465</v>
      </c>
      <c r="I39" s="28">
        <v>18492</v>
      </c>
      <c r="J39" s="29">
        <f t="shared" si="2"/>
        <v>97.351934719663063</v>
      </c>
      <c r="K39" s="30">
        <v>10.7</v>
      </c>
      <c r="L39" s="28">
        <v>11733</v>
      </c>
      <c r="M39" s="28">
        <v>8400</v>
      </c>
      <c r="N39" s="28">
        <v>2786</v>
      </c>
      <c r="O39" s="28">
        <v>765844</v>
      </c>
      <c r="P39" s="28">
        <v>739530</v>
      </c>
      <c r="Q39" s="99">
        <v>449543</v>
      </c>
      <c r="R39" s="26">
        <v>10092</v>
      </c>
      <c r="S39" s="100">
        <v>1011202</v>
      </c>
      <c r="T39" s="28">
        <v>222</v>
      </c>
      <c r="U39" s="29">
        <f t="shared" si="3"/>
        <v>4554.9639639639636</v>
      </c>
      <c r="V39" s="29">
        <v>5096.43</v>
      </c>
      <c r="W39" s="30">
        <v>0</v>
      </c>
      <c r="X39" s="28">
        <v>0</v>
      </c>
      <c r="Y39" s="101">
        <f t="shared" si="4"/>
        <v>0</v>
      </c>
      <c r="Z39" s="28">
        <v>14803</v>
      </c>
      <c r="AA39" s="28">
        <v>2579251</v>
      </c>
      <c r="AB39" s="28">
        <v>477</v>
      </c>
      <c r="AC39" s="29">
        <f t="shared" si="5"/>
        <v>5407.2348008385743</v>
      </c>
      <c r="AD39" s="29">
        <f t="shared" si="6"/>
        <v>5096.43</v>
      </c>
      <c r="AE39" s="30" t="s">
        <v>173</v>
      </c>
      <c r="AF39" s="99">
        <v>842220</v>
      </c>
      <c r="AG39" s="102">
        <f t="shared" si="7"/>
        <v>45.545100584036341</v>
      </c>
      <c r="AH39" s="114" t="s">
        <v>174</v>
      </c>
      <c r="AI39" s="99">
        <v>56800</v>
      </c>
      <c r="AJ39" s="104">
        <f t="shared" si="8"/>
        <v>4489473</v>
      </c>
    </row>
    <row r="40" spans="3:36" s="22" customFormat="1" ht="15" x14ac:dyDescent="0.25">
      <c r="C40" s="23">
        <v>21</v>
      </c>
      <c r="D40" s="38" t="s">
        <v>59</v>
      </c>
      <c r="E40" s="25">
        <v>11205</v>
      </c>
      <c r="F40" s="26">
        <v>11173</v>
      </c>
      <c r="G40" s="27">
        <f t="shared" si="0"/>
        <v>99.714413208389104</v>
      </c>
      <c r="H40" s="27">
        <f t="shared" si="1"/>
        <v>99.714413208389104</v>
      </c>
      <c r="I40" s="28">
        <v>10405</v>
      </c>
      <c r="J40" s="29">
        <f t="shared" si="2"/>
        <v>93.126286583728628</v>
      </c>
      <c r="K40" s="30">
        <v>18</v>
      </c>
      <c r="L40" s="28">
        <v>3370</v>
      </c>
      <c r="M40" s="28">
        <v>5500</v>
      </c>
      <c r="N40" s="28">
        <v>1200</v>
      </c>
      <c r="O40" s="28">
        <v>438077</v>
      </c>
      <c r="P40" s="28">
        <f>364.44*365</f>
        <v>133020.6</v>
      </c>
      <c r="Q40" s="99">
        <v>213861</v>
      </c>
      <c r="R40" s="26">
        <v>0</v>
      </c>
      <c r="S40" s="100">
        <v>0</v>
      </c>
      <c r="T40" s="28">
        <v>0</v>
      </c>
      <c r="U40" s="29" t="e">
        <f t="shared" si="3"/>
        <v>#DIV/0!</v>
      </c>
      <c r="V40" s="29">
        <v>4186.96</v>
      </c>
      <c r="W40" s="30">
        <v>0</v>
      </c>
      <c r="X40" s="28">
        <v>0</v>
      </c>
      <c r="Y40" s="101">
        <f t="shared" si="4"/>
        <v>0</v>
      </c>
      <c r="Z40" s="28">
        <v>19220</v>
      </c>
      <c r="AA40" s="28">
        <v>1900000</v>
      </c>
      <c r="AB40" s="28">
        <v>806</v>
      </c>
      <c r="AC40" s="29">
        <f t="shared" si="5"/>
        <v>2357.320099255583</v>
      </c>
      <c r="AD40" s="29">
        <f t="shared" si="6"/>
        <v>4186.96</v>
      </c>
      <c r="AE40" s="30" t="s">
        <v>175</v>
      </c>
      <c r="AF40" s="99">
        <v>1200000</v>
      </c>
      <c r="AG40" s="102">
        <f t="shared" si="7"/>
        <v>115.32916866890918</v>
      </c>
      <c r="AH40" s="114">
        <v>0</v>
      </c>
      <c r="AI40" s="99">
        <v>0</v>
      </c>
      <c r="AJ40" s="104">
        <f t="shared" si="8"/>
        <v>3100000</v>
      </c>
    </row>
    <row r="41" spans="3:36" s="22" customFormat="1" ht="15" x14ac:dyDescent="0.25">
      <c r="C41" s="23">
        <v>22</v>
      </c>
      <c r="D41" s="38" t="s">
        <v>60</v>
      </c>
      <c r="E41" s="25">
        <v>14292</v>
      </c>
      <c r="F41" s="26">
        <v>13666</v>
      </c>
      <c r="G41" s="27">
        <f t="shared" si="0"/>
        <v>95.619927232017915</v>
      </c>
      <c r="H41" s="27">
        <f t="shared" si="1"/>
        <v>98.761544920235096</v>
      </c>
      <c r="I41" s="28">
        <v>12287</v>
      </c>
      <c r="J41" s="29">
        <f t="shared" si="2"/>
        <v>89.909263866530083</v>
      </c>
      <c r="K41" s="30">
        <v>16</v>
      </c>
      <c r="L41" s="28">
        <f>223*20</f>
        <v>4460</v>
      </c>
      <c r="M41" s="28">
        <v>2800</v>
      </c>
      <c r="N41" s="28">
        <v>2800</v>
      </c>
      <c r="O41" s="28">
        <v>564401</v>
      </c>
      <c r="P41" s="28">
        <v>585500</v>
      </c>
      <c r="Q41" s="99">
        <v>409981</v>
      </c>
      <c r="R41" s="26">
        <v>8100</v>
      </c>
      <c r="S41" s="100">
        <v>1443000</v>
      </c>
      <c r="T41" s="28">
        <v>449</v>
      </c>
      <c r="U41" s="29">
        <f t="shared" si="3"/>
        <v>3213.8084632516702</v>
      </c>
      <c r="V41" s="29">
        <v>5096.43</v>
      </c>
      <c r="W41" s="30">
        <v>0</v>
      </c>
      <c r="X41" s="28">
        <v>0</v>
      </c>
      <c r="Y41" s="101">
        <f t="shared" si="4"/>
        <v>0</v>
      </c>
      <c r="Z41" s="28">
        <v>7600</v>
      </c>
      <c r="AA41" s="28">
        <v>1396000</v>
      </c>
      <c r="AB41" s="28">
        <v>119</v>
      </c>
      <c r="AC41" s="29">
        <f t="shared" si="5"/>
        <v>11731.09243697479</v>
      </c>
      <c r="AD41" s="29">
        <f t="shared" si="6"/>
        <v>5096.43</v>
      </c>
      <c r="AE41" s="30" t="s">
        <v>176</v>
      </c>
      <c r="AF41" s="99">
        <v>834000</v>
      </c>
      <c r="AG41" s="102">
        <f t="shared" si="7"/>
        <v>67.876617563278259</v>
      </c>
      <c r="AH41" s="114" t="s">
        <v>161</v>
      </c>
      <c r="AI41" s="99">
        <v>120000</v>
      </c>
      <c r="AJ41" s="104">
        <f t="shared" si="8"/>
        <v>3793000</v>
      </c>
    </row>
    <row r="42" spans="3:36" s="22" customFormat="1" ht="15" x14ac:dyDescent="0.25">
      <c r="C42" s="23">
        <v>23</v>
      </c>
      <c r="D42" s="38" t="s">
        <v>61</v>
      </c>
      <c r="E42" s="25">
        <v>9620</v>
      </c>
      <c r="F42" s="26">
        <v>9620</v>
      </c>
      <c r="G42" s="27">
        <f t="shared" si="0"/>
        <v>100</v>
      </c>
      <c r="H42" s="27">
        <f t="shared" si="1"/>
        <v>100</v>
      </c>
      <c r="I42" s="28">
        <v>9572</v>
      </c>
      <c r="J42" s="29">
        <f t="shared" si="2"/>
        <v>99.5010395010395</v>
      </c>
      <c r="K42" s="30">
        <v>27</v>
      </c>
      <c r="L42" s="28">
        <v>2780</v>
      </c>
      <c r="M42" s="28">
        <v>3840</v>
      </c>
      <c r="N42" s="28">
        <v>1000</v>
      </c>
      <c r="O42" s="28">
        <v>474529</v>
      </c>
      <c r="P42" s="28">
        <v>568294</v>
      </c>
      <c r="Q42" s="99">
        <v>248004</v>
      </c>
      <c r="R42" s="26">
        <v>0</v>
      </c>
      <c r="S42" s="100">
        <v>0</v>
      </c>
      <c r="T42" s="28">
        <v>0</v>
      </c>
      <c r="U42" s="29" t="e">
        <f t="shared" si="3"/>
        <v>#DIV/0!</v>
      </c>
      <c r="V42" s="29">
        <v>4186.96</v>
      </c>
      <c r="W42" s="30">
        <v>0</v>
      </c>
      <c r="X42" s="28">
        <v>0</v>
      </c>
      <c r="Y42" s="101">
        <f t="shared" si="4"/>
        <v>0</v>
      </c>
      <c r="Z42" s="28">
        <v>0</v>
      </c>
      <c r="AA42" s="28">
        <v>0</v>
      </c>
      <c r="AB42" s="28">
        <v>0</v>
      </c>
      <c r="AC42" s="29" t="e">
        <f t="shared" si="5"/>
        <v>#DIV/0!</v>
      </c>
      <c r="AD42" s="29">
        <f t="shared" si="6"/>
        <v>4186.96</v>
      </c>
      <c r="AE42" s="30">
        <v>0</v>
      </c>
      <c r="AF42" s="99">
        <v>0</v>
      </c>
      <c r="AG42" s="102">
        <f t="shared" si="7"/>
        <v>0</v>
      </c>
      <c r="AH42" s="114">
        <v>0</v>
      </c>
      <c r="AI42" s="99">
        <v>0</v>
      </c>
      <c r="AJ42" s="104">
        <f t="shared" si="8"/>
        <v>0</v>
      </c>
    </row>
    <row r="43" spans="3:36" s="22" customFormat="1" ht="15" x14ac:dyDescent="0.25">
      <c r="C43" s="23">
        <v>24</v>
      </c>
      <c r="D43" s="38" t="s">
        <v>62</v>
      </c>
      <c r="E43" s="25">
        <v>18102</v>
      </c>
      <c r="F43" s="26">
        <v>17957</v>
      </c>
      <c r="G43" s="27">
        <f t="shared" si="0"/>
        <v>99.198983537730641</v>
      </c>
      <c r="H43" s="27">
        <f t="shared" si="1"/>
        <v>99.585681140205509</v>
      </c>
      <c r="I43" s="28">
        <v>15661</v>
      </c>
      <c r="J43" s="29">
        <f t="shared" si="2"/>
        <v>87.21389987191624</v>
      </c>
      <c r="K43" s="30">
        <v>20</v>
      </c>
      <c r="L43" s="28">
        <v>4067</v>
      </c>
      <c r="M43" s="28">
        <v>4900</v>
      </c>
      <c r="N43" s="28">
        <v>2160</v>
      </c>
      <c r="O43" s="28">
        <v>757937</v>
      </c>
      <c r="P43" s="28" t="s">
        <v>25</v>
      </c>
      <c r="Q43" s="99">
        <v>655238</v>
      </c>
      <c r="R43" s="26">
        <v>1490</v>
      </c>
      <c r="S43" s="100">
        <v>217200</v>
      </c>
      <c r="T43" s="28">
        <v>70</v>
      </c>
      <c r="U43" s="29">
        <f t="shared" si="3"/>
        <v>3102.8571428571427</v>
      </c>
      <c r="V43" s="29">
        <v>5096.43</v>
      </c>
      <c r="W43" s="30" t="s">
        <v>177</v>
      </c>
      <c r="X43" s="28">
        <v>180000</v>
      </c>
      <c r="Y43" s="101">
        <f t="shared" si="4"/>
        <v>10.023946093445453</v>
      </c>
      <c r="Z43" s="28">
        <v>5250</v>
      </c>
      <c r="AA43" s="28">
        <v>761100</v>
      </c>
      <c r="AB43" s="28">
        <v>68</v>
      </c>
      <c r="AC43" s="29">
        <f t="shared" si="5"/>
        <v>11192.64705882353</v>
      </c>
      <c r="AD43" s="29">
        <f t="shared" si="6"/>
        <v>5096.43</v>
      </c>
      <c r="AE43" s="30" t="s">
        <v>178</v>
      </c>
      <c r="AF43" s="99">
        <v>7207000</v>
      </c>
      <c r="AG43" s="102">
        <f t="shared" si="7"/>
        <v>460.18772747589554</v>
      </c>
      <c r="AH43" s="114">
        <v>0</v>
      </c>
      <c r="AI43" s="99">
        <v>0</v>
      </c>
      <c r="AJ43" s="104">
        <f t="shared" si="8"/>
        <v>8365300</v>
      </c>
    </row>
    <row r="44" spans="3:36" s="22" customFormat="1" ht="40.700000000000003" customHeight="1" x14ac:dyDescent="0.25">
      <c r="C44" s="23">
        <v>25</v>
      </c>
      <c r="D44" s="38" t="s">
        <v>63</v>
      </c>
      <c r="E44" s="25">
        <v>25802</v>
      </c>
      <c r="F44" s="26">
        <v>25709</v>
      </c>
      <c r="G44" s="27">
        <f t="shared" si="0"/>
        <v>99.639562824587244</v>
      </c>
      <c r="H44" s="27">
        <f t="shared" si="1"/>
        <v>99.810092240911558</v>
      </c>
      <c r="I44" s="28">
        <v>24334</v>
      </c>
      <c r="J44" s="29">
        <f t="shared" si="2"/>
        <v>94.651678400560115</v>
      </c>
      <c r="K44" s="30">
        <v>9</v>
      </c>
      <c r="L44" s="28">
        <f>275*20</f>
        <v>5500</v>
      </c>
      <c r="M44" s="28">
        <v>5500</v>
      </c>
      <c r="N44" s="28">
        <v>4000</v>
      </c>
      <c r="O44" s="28">
        <v>1014092</v>
      </c>
      <c r="P44" s="28">
        <v>1014092</v>
      </c>
      <c r="Q44" s="99">
        <v>666364</v>
      </c>
      <c r="R44" s="26">
        <v>2090</v>
      </c>
      <c r="S44" s="100">
        <v>535500</v>
      </c>
      <c r="T44" s="28">
        <v>44</v>
      </c>
      <c r="U44" s="29">
        <f t="shared" si="3"/>
        <v>12170.454545454546</v>
      </c>
      <c r="V44" s="29">
        <v>3582.6</v>
      </c>
      <c r="W44" s="114" t="s">
        <v>161</v>
      </c>
      <c r="X44" s="28">
        <v>155000</v>
      </c>
      <c r="Y44" s="101">
        <f t="shared" si="4"/>
        <v>6.0290170757322334</v>
      </c>
      <c r="Z44" s="28">
        <v>4200</v>
      </c>
      <c r="AA44" s="28">
        <v>772500</v>
      </c>
      <c r="AB44" s="28">
        <v>314</v>
      </c>
      <c r="AC44" s="29">
        <f t="shared" si="5"/>
        <v>2460.191082802548</v>
      </c>
      <c r="AD44" s="29">
        <f t="shared" si="6"/>
        <v>3582.6</v>
      </c>
      <c r="AE44" s="30" t="s">
        <v>179</v>
      </c>
      <c r="AF44" s="99">
        <v>3250000</v>
      </c>
      <c r="AG44" s="102">
        <f t="shared" si="7"/>
        <v>133.55798471274758</v>
      </c>
      <c r="AH44" s="103" t="s">
        <v>147</v>
      </c>
      <c r="AI44" s="99">
        <v>350000</v>
      </c>
      <c r="AJ44" s="104">
        <f t="shared" si="8"/>
        <v>5063000</v>
      </c>
    </row>
    <row r="45" spans="3:36" s="22" customFormat="1" ht="15" x14ac:dyDescent="0.25">
      <c r="C45" s="23">
        <v>26</v>
      </c>
      <c r="D45" s="38" t="s">
        <v>64</v>
      </c>
      <c r="E45" s="25">
        <v>37656</v>
      </c>
      <c r="F45" s="26">
        <v>37091</v>
      </c>
      <c r="G45" s="27">
        <f t="shared" si="0"/>
        <v>98.499575100913532</v>
      </c>
      <c r="H45" s="27">
        <f t="shared" si="1"/>
        <v>98.499575100913532</v>
      </c>
      <c r="I45" s="28">
        <v>36376</v>
      </c>
      <c r="J45" s="29">
        <f t="shared" si="2"/>
        <v>98.072308646302346</v>
      </c>
      <c r="K45" s="30">
        <v>9</v>
      </c>
      <c r="L45" s="28">
        <v>21744</v>
      </c>
      <c r="M45" s="28">
        <v>835</v>
      </c>
      <c r="N45" s="28">
        <v>6000</v>
      </c>
      <c r="O45" s="28">
        <v>2336297</v>
      </c>
      <c r="P45" s="28">
        <v>2268891</v>
      </c>
      <c r="Q45" s="99">
        <v>1335912</v>
      </c>
      <c r="R45" s="26">
        <v>0</v>
      </c>
      <c r="S45" s="100">
        <v>0</v>
      </c>
      <c r="T45" s="28">
        <v>0</v>
      </c>
      <c r="U45" s="29" t="e">
        <f t="shared" si="3"/>
        <v>#DIV/0!</v>
      </c>
      <c r="V45" s="29">
        <v>4186.96</v>
      </c>
      <c r="W45" s="30">
        <v>0</v>
      </c>
      <c r="X45" s="28">
        <v>0</v>
      </c>
      <c r="Y45" s="101">
        <f t="shared" si="4"/>
        <v>0</v>
      </c>
      <c r="Z45" s="28">
        <v>0</v>
      </c>
      <c r="AA45" s="28">
        <v>0</v>
      </c>
      <c r="AB45" s="28">
        <v>0</v>
      </c>
      <c r="AC45" s="29" t="e">
        <f t="shared" si="5"/>
        <v>#DIV/0!</v>
      </c>
      <c r="AD45" s="29">
        <f t="shared" si="6"/>
        <v>4186.96</v>
      </c>
      <c r="AE45" s="30" t="s">
        <v>180</v>
      </c>
      <c r="AF45" s="99">
        <v>1337890</v>
      </c>
      <c r="AG45" s="102">
        <f t="shared" si="7"/>
        <v>36.779469980206727</v>
      </c>
      <c r="AH45" s="114">
        <v>0</v>
      </c>
      <c r="AI45" s="99">
        <v>0</v>
      </c>
      <c r="AJ45" s="104">
        <f t="shared" si="8"/>
        <v>1337890</v>
      </c>
    </row>
    <row r="46" spans="3:36" ht="15" x14ac:dyDescent="0.25">
      <c r="C46" s="13"/>
      <c r="D46" s="40" t="s">
        <v>65</v>
      </c>
      <c r="E46" s="41"/>
      <c r="F46" s="41"/>
      <c r="G46" s="42"/>
      <c r="H46" s="42"/>
      <c r="I46" s="41"/>
      <c r="J46" s="42"/>
      <c r="K46" s="42"/>
      <c r="L46" s="36"/>
      <c r="M46" s="36"/>
      <c r="N46" s="36"/>
      <c r="O46" s="36"/>
      <c r="P46" s="36"/>
      <c r="Q46" s="106"/>
      <c r="R46" s="34"/>
      <c r="S46" s="107"/>
      <c r="T46" s="36"/>
      <c r="U46" s="110"/>
      <c r="V46" s="110"/>
      <c r="W46" s="109"/>
      <c r="X46" s="36"/>
      <c r="Y46" s="109"/>
      <c r="Z46" s="36"/>
      <c r="AA46" s="36"/>
      <c r="AB46" s="36"/>
      <c r="AC46" s="110"/>
      <c r="AD46" s="110"/>
      <c r="AE46" s="109"/>
      <c r="AF46" s="36"/>
      <c r="AG46" s="116"/>
      <c r="AH46" s="109"/>
      <c r="AI46" s="106"/>
      <c r="AJ46" s="113"/>
    </row>
    <row r="47" spans="3:36" ht="15" x14ac:dyDescent="0.25">
      <c r="C47" s="43">
        <v>27</v>
      </c>
      <c r="D47" s="44" t="s">
        <v>66</v>
      </c>
      <c r="E47" s="45">
        <v>7421</v>
      </c>
      <c r="F47" s="46">
        <v>7697</v>
      </c>
      <c r="G47" s="47">
        <f t="shared" ref="G47:G76" si="9">F47/E47*100</f>
        <v>103.7191753133001</v>
      </c>
      <c r="H47" s="47">
        <f t="shared" ref="H47:H76" si="10">(F47+T47)/E47*100</f>
        <v>103.7191753133001</v>
      </c>
      <c r="I47" s="48">
        <v>7626</v>
      </c>
      <c r="J47" s="49">
        <f t="shared" ref="J47:J76" si="11">I47/F47*100</f>
        <v>99.077562686761084</v>
      </c>
      <c r="K47" s="30">
        <v>18</v>
      </c>
      <c r="L47" s="48">
        <v>3600</v>
      </c>
      <c r="M47" s="48">
        <v>3200</v>
      </c>
      <c r="N47" s="48">
        <v>1000</v>
      </c>
      <c r="O47" s="48">
        <v>750672</v>
      </c>
      <c r="P47" s="48">
        <v>296545</v>
      </c>
      <c r="Q47" s="117">
        <v>548247</v>
      </c>
      <c r="R47" s="46">
        <v>0</v>
      </c>
      <c r="S47" s="118">
        <v>0</v>
      </c>
      <c r="T47" s="48">
        <v>0</v>
      </c>
      <c r="U47" s="49" t="e">
        <f>S47/T47</f>
        <v>#DIV/0!</v>
      </c>
      <c r="V47" s="49">
        <v>4126.79</v>
      </c>
      <c r="W47" s="119">
        <v>0</v>
      </c>
      <c r="X47" s="48">
        <v>0</v>
      </c>
      <c r="Y47" s="120">
        <f t="shared" ref="Y47:Y76" si="12">X47/F47</f>
        <v>0</v>
      </c>
      <c r="Z47" s="48">
        <v>0</v>
      </c>
      <c r="AA47" s="48">
        <v>0</v>
      </c>
      <c r="AB47" s="48">
        <v>0</v>
      </c>
      <c r="AC47" s="49" t="e">
        <f t="shared" ref="AC47:AC76" si="13">AA47/AB47</f>
        <v>#DIV/0!</v>
      </c>
      <c r="AD47" s="49">
        <f t="shared" ref="AD47:AD76" si="14">V47</f>
        <v>4126.79</v>
      </c>
      <c r="AE47" s="30" t="s">
        <v>181</v>
      </c>
      <c r="AF47" s="99">
        <v>60000</v>
      </c>
      <c r="AG47" s="102"/>
      <c r="AH47" s="121">
        <v>0</v>
      </c>
      <c r="AI47" s="117">
        <v>0</v>
      </c>
      <c r="AJ47" s="122">
        <f t="shared" ref="AJ47:AJ75" si="15">S47+X47+AA47+AF47+AI47</f>
        <v>60000</v>
      </c>
    </row>
    <row r="48" spans="3:36" s="22" customFormat="1" ht="15" x14ac:dyDescent="0.25">
      <c r="C48" s="23">
        <v>28</v>
      </c>
      <c r="D48" s="38" t="s">
        <v>67</v>
      </c>
      <c r="E48" s="25">
        <v>4304</v>
      </c>
      <c r="F48" s="26">
        <v>4170</v>
      </c>
      <c r="G48" s="27">
        <f t="shared" si="9"/>
        <v>96.886617100371751</v>
      </c>
      <c r="H48" s="27">
        <f t="shared" si="10"/>
        <v>96.886617100371751</v>
      </c>
      <c r="I48" s="28">
        <v>3948</v>
      </c>
      <c r="J48" s="29">
        <f t="shared" si="11"/>
        <v>94.676258992805757</v>
      </c>
      <c r="K48" s="30">
        <v>17</v>
      </c>
      <c r="L48" s="28">
        <v>2340</v>
      </c>
      <c r="M48" s="28">
        <v>1400</v>
      </c>
      <c r="N48" s="28">
        <v>490</v>
      </c>
      <c r="O48" s="28">
        <v>131030</v>
      </c>
      <c r="P48" s="28">
        <v>127072</v>
      </c>
      <c r="Q48" s="99">
        <v>741570</v>
      </c>
      <c r="R48" s="26">
        <v>1000</v>
      </c>
      <c r="S48" s="100">
        <f t="shared" ref="S48:S74" si="16">R48*135</f>
        <v>135000</v>
      </c>
      <c r="T48" s="28">
        <v>0</v>
      </c>
      <c r="U48" s="29">
        <f>S48/F48</f>
        <v>32.374100719424462</v>
      </c>
      <c r="V48" s="29">
        <v>4132.54</v>
      </c>
      <c r="W48" s="30">
        <v>0</v>
      </c>
      <c r="X48" s="28">
        <v>0</v>
      </c>
      <c r="Y48" s="101">
        <f t="shared" si="12"/>
        <v>0</v>
      </c>
      <c r="Z48" s="28">
        <v>0</v>
      </c>
      <c r="AA48" s="28">
        <f t="shared" ref="AA48:AA76" si="17">Z48*$AL$3</f>
        <v>0</v>
      </c>
      <c r="AB48" s="28">
        <v>0</v>
      </c>
      <c r="AC48" s="29" t="e">
        <f t="shared" si="13"/>
        <v>#DIV/0!</v>
      </c>
      <c r="AD48" s="29">
        <f t="shared" si="14"/>
        <v>4132.54</v>
      </c>
      <c r="AE48" s="30" t="s">
        <v>182</v>
      </c>
      <c r="AF48" s="99">
        <v>200000</v>
      </c>
      <c r="AG48" s="102">
        <f t="shared" ref="AG48:AG57" si="18">AF48/I48</f>
        <v>50.658561296859169</v>
      </c>
      <c r="AH48" s="114" t="s">
        <v>161</v>
      </c>
      <c r="AI48" s="99">
        <v>50000</v>
      </c>
      <c r="AJ48" s="104">
        <f t="shared" si="15"/>
        <v>385000</v>
      </c>
    </row>
    <row r="49" spans="3:36" s="22" customFormat="1" ht="15" x14ac:dyDescent="0.25">
      <c r="C49" s="23">
        <v>29</v>
      </c>
      <c r="D49" s="38" t="s">
        <v>68</v>
      </c>
      <c r="E49" s="25">
        <v>7145</v>
      </c>
      <c r="F49" s="26">
        <v>6963</v>
      </c>
      <c r="G49" s="27">
        <f t="shared" si="9"/>
        <v>97.452764170748779</v>
      </c>
      <c r="H49" s="27">
        <f t="shared" si="10"/>
        <v>100</v>
      </c>
      <c r="I49" s="28">
        <v>6213</v>
      </c>
      <c r="J49" s="29">
        <f t="shared" si="11"/>
        <v>89.228780697975012</v>
      </c>
      <c r="K49" s="30">
        <v>0</v>
      </c>
      <c r="L49" s="28">
        <v>1728</v>
      </c>
      <c r="M49" s="28">
        <v>1747</v>
      </c>
      <c r="N49" s="28">
        <v>445</v>
      </c>
      <c r="O49" s="28">
        <v>214113</v>
      </c>
      <c r="P49" s="28">
        <v>197122</v>
      </c>
      <c r="Q49" s="99">
        <v>163997</v>
      </c>
      <c r="R49" s="26">
        <v>6000</v>
      </c>
      <c r="S49" s="100">
        <f t="shared" si="16"/>
        <v>810000</v>
      </c>
      <c r="T49" s="28">
        <v>182</v>
      </c>
      <c r="U49" s="29">
        <f>S49/T49</f>
        <v>4450.5494505494507</v>
      </c>
      <c r="V49" s="29">
        <v>3449.01</v>
      </c>
      <c r="W49" s="30">
        <v>0</v>
      </c>
      <c r="X49" s="28">
        <v>0</v>
      </c>
      <c r="Y49" s="101">
        <f t="shared" si="12"/>
        <v>0</v>
      </c>
      <c r="Z49" s="28">
        <v>0</v>
      </c>
      <c r="AA49" s="28">
        <f t="shared" si="17"/>
        <v>0</v>
      </c>
      <c r="AB49" s="28">
        <v>0</v>
      </c>
      <c r="AC49" s="29" t="e">
        <f t="shared" si="13"/>
        <v>#DIV/0!</v>
      </c>
      <c r="AD49" s="29">
        <f t="shared" si="14"/>
        <v>3449.01</v>
      </c>
      <c r="AE49" s="30">
        <v>0</v>
      </c>
      <c r="AF49" s="99">
        <v>0</v>
      </c>
      <c r="AG49" s="102">
        <f t="shared" si="18"/>
        <v>0</v>
      </c>
      <c r="AH49" s="114">
        <v>0</v>
      </c>
      <c r="AI49" s="99">
        <v>0</v>
      </c>
      <c r="AJ49" s="104">
        <f t="shared" si="15"/>
        <v>810000</v>
      </c>
    </row>
    <row r="50" spans="3:36" s="22" customFormat="1" ht="15" x14ac:dyDescent="0.25">
      <c r="C50" s="23">
        <v>30</v>
      </c>
      <c r="D50" s="38" t="s">
        <v>69</v>
      </c>
      <c r="E50" s="25">
        <v>3292</v>
      </c>
      <c r="F50" s="26">
        <v>2433</v>
      </c>
      <c r="G50" s="27">
        <f t="shared" si="9"/>
        <v>73.906439854191987</v>
      </c>
      <c r="H50" s="27">
        <f t="shared" si="10"/>
        <v>84.204131227217488</v>
      </c>
      <c r="I50" s="28">
        <v>2098</v>
      </c>
      <c r="J50" s="29">
        <f t="shared" si="11"/>
        <v>86.230990546650219</v>
      </c>
      <c r="K50" s="30">
        <v>25.9</v>
      </c>
      <c r="L50" s="28">
        <v>18360</v>
      </c>
      <c r="M50" s="28">
        <v>798</v>
      </c>
      <c r="N50" s="28">
        <v>0</v>
      </c>
      <c r="O50" s="28">
        <v>125691</v>
      </c>
      <c r="P50" s="28">
        <v>48904</v>
      </c>
      <c r="Q50" s="99">
        <v>99822</v>
      </c>
      <c r="R50" s="26">
        <v>6000</v>
      </c>
      <c r="S50" s="100">
        <f t="shared" si="16"/>
        <v>810000</v>
      </c>
      <c r="T50" s="28">
        <v>339</v>
      </c>
      <c r="U50" s="29">
        <f>S50/T50</f>
        <v>2389.3805309734512</v>
      </c>
      <c r="V50" s="29">
        <v>4126.79</v>
      </c>
      <c r="W50" s="30">
        <v>0</v>
      </c>
      <c r="X50" s="28">
        <v>0</v>
      </c>
      <c r="Y50" s="101">
        <f t="shared" si="12"/>
        <v>0</v>
      </c>
      <c r="Z50" s="28">
        <v>0</v>
      </c>
      <c r="AA50" s="28">
        <f t="shared" si="17"/>
        <v>0</v>
      </c>
      <c r="AB50" s="28">
        <v>0</v>
      </c>
      <c r="AC50" s="29" t="e">
        <f t="shared" si="13"/>
        <v>#DIV/0!</v>
      </c>
      <c r="AD50" s="29">
        <f t="shared" si="14"/>
        <v>4126.79</v>
      </c>
      <c r="AE50" s="30">
        <v>0</v>
      </c>
      <c r="AF50" s="99">
        <v>0</v>
      </c>
      <c r="AG50" s="102">
        <f t="shared" si="18"/>
        <v>0</v>
      </c>
      <c r="AH50" s="114">
        <v>0</v>
      </c>
      <c r="AI50" s="99">
        <v>0</v>
      </c>
      <c r="AJ50" s="104">
        <f t="shared" si="15"/>
        <v>810000</v>
      </c>
    </row>
    <row r="51" spans="3:36" s="22" customFormat="1" ht="24" x14ac:dyDescent="0.25">
      <c r="C51" s="23">
        <v>31</v>
      </c>
      <c r="D51" s="38" t="s">
        <v>70</v>
      </c>
      <c r="E51" s="25">
        <v>9813</v>
      </c>
      <c r="F51" s="26">
        <v>8474</v>
      </c>
      <c r="G51" s="27">
        <f t="shared" si="9"/>
        <v>86.35483542239885</v>
      </c>
      <c r="H51" s="27">
        <f t="shared" si="10"/>
        <v>100</v>
      </c>
      <c r="I51" s="28">
        <v>6465</v>
      </c>
      <c r="J51" s="29">
        <f t="shared" si="11"/>
        <v>76.292187868775073</v>
      </c>
      <c r="K51" s="30">
        <v>11</v>
      </c>
      <c r="L51" s="28">
        <v>2000</v>
      </c>
      <c r="M51" s="28">
        <v>2100</v>
      </c>
      <c r="N51" s="28">
        <v>900</v>
      </c>
      <c r="O51" s="28">
        <f>1800*365</f>
        <v>657000</v>
      </c>
      <c r="P51" s="28">
        <v>349958</v>
      </c>
      <c r="Q51" s="99">
        <v>23085</v>
      </c>
      <c r="R51" s="26">
        <v>8970</v>
      </c>
      <c r="S51" s="100">
        <f t="shared" si="16"/>
        <v>1210950</v>
      </c>
      <c r="T51" s="28">
        <v>1339</v>
      </c>
      <c r="U51" s="29">
        <f>S51/T51</f>
        <v>904.36893203883494</v>
      </c>
      <c r="V51" s="29">
        <v>5096.43</v>
      </c>
      <c r="W51" s="105" t="s">
        <v>183</v>
      </c>
      <c r="X51" s="28">
        <v>150000</v>
      </c>
      <c r="Y51" s="101">
        <f t="shared" si="12"/>
        <v>17.701203681850366</v>
      </c>
      <c r="Z51" s="28">
        <v>1200</v>
      </c>
      <c r="AA51" s="28">
        <f t="shared" si="17"/>
        <v>162000</v>
      </c>
      <c r="AB51" s="28">
        <v>0</v>
      </c>
      <c r="AC51" s="29" t="e">
        <f t="shared" si="13"/>
        <v>#DIV/0!</v>
      </c>
      <c r="AD51" s="29">
        <f t="shared" si="14"/>
        <v>5096.43</v>
      </c>
      <c r="AE51" s="30">
        <v>0</v>
      </c>
      <c r="AF51" s="99">
        <v>0</v>
      </c>
      <c r="AG51" s="102">
        <f t="shared" si="18"/>
        <v>0</v>
      </c>
      <c r="AH51" s="114">
        <v>0</v>
      </c>
      <c r="AI51" s="99">
        <v>0</v>
      </c>
      <c r="AJ51" s="104">
        <f t="shared" si="15"/>
        <v>1522950</v>
      </c>
    </row>
    <row r="52" spans="3:36" s="22" customFormat="1" ht="15" x14ac:dyDescent="0.25">
      <c r="C52" s="23">
        <v>32</v>
      </c>
      <c r="D52" s="38" t="s">
        <v>71</v>
      </c>
      <c r="E52" s="25">
        <v>6002</v>
      </c>
      <c r="F52" s="26">
        <v>5219</v>
      </c>
      <c r="G52" s="27">
        <f t="shared" si="9"/>
        <v>86.954348550483175</v>
      </c>
      <c r="H52" s="27">
        <f t="shared" si="10"/>
        <v>89.953348883705431</v>
      </c>
      <c r="I52" s="28">
        <v>4980</v>
      </c>
      <c r="J52" s="29">
        <f t="shared" si="11"/>
        <v>95.420578654914735</v>
      </c>
      <c r="K52" s="30">
        <v>14</v>
      </c>
      <c r="L52" s="28">
        <f>92*20</f>
        <v>1840</v>
      </c>
      <c r="M52" s="28">
        <v>1840</v>
      </c>
      <c r="N52" s="28">
        <v>1220</v>
      </c>
      <c r="O52" s="28">
        <v>272191</v>
      </c>
      <c r="P52" s="28">
        <v>254622</v>
      </c>
      <c r="Q52" s="99">
        <v>136825</v>
      </c>
      <c r="R52" s="26">
        <v>2000</v>
      </c>
      <c r="S52" s="100">
        <f t="shared" si="16"/>
        <v>270000</v>
      </c>
      <c r="T52" s="28">
        <v>180</v>
      </c>
      <c r="U52" s="29">
        <f>S52/T52</f>
        <v>1500</v>
      </c>
      <c r="V52" s="29">
        <v>4903.25</v>
      </c>
      <c r="W52" s="30" t="s">
        <v>184</v>
      </c>
      <c r="X52" s="28">
        <v>300000</v>
      </c>
      <c r="Y52" s="101">
        <f t="shared" si="12"/>
        <v>57.482276298141407</v>
      </c>
      <c r="Z52" s="28">
        <v>2350</v>
      </c>
      <c r="AA52" s="28">
        <f t="shared" si="17"/>
        <v>317250</v>
      </c>
      <c r="AB52" s="28">
        <v>180</v>
      </c>
      <c r="AC52" s="29">
        <f t="shared" si="13"/>
        <v>1762.5</v>
      </c>
      <c r="AD52" s="29">
        <f t="shared" si="14"/>
        <v>4903.25</v>
      </c>
      <c r="AE52" s="30">
        <v>0</v>
      </c>
      <c r="AF52" s="99">
        <v>0</v>
      </c>
      <c r="AG52" s="102">
        <f t="shared" si="18"/>
        <v>0</v>
      </c>
      <c r="AH52" s="114">
        <v>0</v>
      </c>
      <c r="AI52" s="99">
        <v>0</v>
      </c>
      <c r="AJ52" s="104">
        <f t="shared" si="15"/>
        <v>887250</v>
      </c>
    </row>
    <row r="53" spans="3:36" s="22" customFormat="1" ht="15" x14ac:dyDescent="0.25">
      <c r="C53" s="23">
        <v>33</v>
      </c>
      <c r="D53" s="38" t="s">
        <v>72</v>
      </c>
      <c r="E53" s="25">
        <v>5513</v>
      </c>
      <c r="F53" s="26">
        <v>5513</v>
      </c>
      <c r="G53" s="27">
        <f t="shared" si="9"/>
        <v>100</v>
      </c>
      <c r="H53" s="27">
        <f t="shared" si="10"/>
        <v>100</v>
      </c>
      <c r="I53" s="28">
        <v>5397</v>
      </c>
      <c r="J53" s="29">
        <f t="shared" si="11"/>
        <v>97.895882459640845</v>
      </c>
      <c r="K53" s="30">
        <v>19</v>
      </c>
      <c r="L53" s="28">
        <v>1500</v>
      </c>
      <c r="M53" s="28">
        <v>1500</v>
      </c>
      <c r="N53" s="28">
        <v>1500</v>
      </c>
      <c r="O53" s="28">
        <v>320000</v>
      </c>
      <c r="P53" s="28">
        <v>320000</v>
      </c>
      <c r="Q53" s="99">
        <v>263208</v>
      </c>
      <c r="R53" s="26">
        <v>450</v>
      </c>
      <c r="S53" s="100">
        <f t="shared" si="16"/>
        <v>60750</v>
      </c>
      <c r="T53" s="28">
        <v>0</v>
      </c>
      <c r="U53" s="29">
        <f>S53/F53</f>
        <v>11.019408670415382</v>
      </c>
      <c r="V53" s="29">
        <v>4903.25</v>
      </c>
      <c r="W53" s="30">
        <v>0</v>
      </c>
      <c r="X53" s="28">
        <v>0</v>
      </c>
      <c r="Y53" s="101">
        <f t="shared" si="12"/>
        <v>0</v>
      </c>
      <c r="Z53" s="28">
        <v>10997</v>
      </c>
      <c r="AA53" s="28">
        <f t="shared" si="17"/>
        <v>1484595</v>
      </c>
      <c r="AB53" s="28">
        <v>3107</v>
      </c>
      <c r="AC53" s="29">
        <f t="shared" si="13"/>
        <v>477.82265851303509</v>
      </c>
      <c r="AD53" s="29">
        <f t="shared" si="14"/>
        <v>4903.25</v>
      </c>
      <c r="AE53" s="30">
        <v>0</v>
      </c>
      <c r="AF53" s="99">
        <v>0</v>
      </c>
      <c r="AG53" s="102">
        <f t="shared" si="18"/>
        <v>0</v>
      </c>
      <c r="AH53" s="114">
        <v>0</v>
      </c>
      <c r="AI53" s="99">
        <v>0</v>
      </c>
      <c r="AJ53" s="104">
        <f t="shared" si="15"/>
        <v>1545345</v>
      </c>
    </row>
    <row r="54" spans="3:36" s="22" customFormat="1" ht="15" x14ac:dyDescent="0.25">
      <c r="C54" s="23">
        <v>34</v>
      </c>
      <c r="D54" s="38" t="s">
        <v>73</v>
      </c>
      <c r="E54" s="25">
        <v>1470</v>
      </c>
      <c r="F54" s="26">
        <v>1320</v>
      </c>
      <c r="G54" s="27">
        <f t="shared" si="9"/>
        <v>89.795918367346943</v>
      </c>
      <c r="H54" s="27">
        <f t="shared" si="10"/>
        <v>89.795918367346943</v>
      </c>
      <c r="I54" s="28">
        <v>1120</v>
      </c>
      <c r="J54" s="29">
        <f t="shared" si="11"/>
        <v>84.848484848484844</v>
      </c>
      <c r="K54" s="30">
        <v>20</v>
      </c>
      <c r="L54" s="28">
        <v>100</v>
      </c>
      <c r="M54" s="28">
        <v>100</v>
      </c>
      <c r="N54" s="28">
        <v>40</v>
      </c>
      <c r="O54" s="28">
        <v>75</v>
      </c>
      <c r="P54" s="28" t="s">
        <v>25</v>
      </c>
      <c r="Q54" s="99" t="s">
        <v>25</v>
      </c>
      <c r="R54" s="26">
        <v>0</v>
      </c>
      <c r="S54" s="100">
        <f t="shared" si="16"/>
        <v>0</v>
      </c>
      <c r="T54" s="28">
        <v>0</v>
      </c>
      <c r="U54" s="29" t="e">
        <f t="shared" ref="U54:U76" si="19">S54/T54</f>
        <v>#DIV/0!</v>
      </c>
      <c r="V54" s="29">
        <v>4903.25</v>
      </c>
      <c r="W54" s="30">
        <v>0</v>
      </c>
      <c r="X54" s="28">
        <v>0</v>
      </c>
      <c r="Y54" s="101">
        <f t="shared" si="12"/>
        <v>0</v>
      </c>
      <c r="Z54" s="28">
        <v>0</v>
      </c>
      <c r="AA54" s="28">
        <f t="shared" si="17"/>
        <v>0</v>
      </c>
      <c r="AB54" s="28">
        <v>0</v>
      </c>
      <c r="AC54" s="29" t="e">
        <f t="shared" si="13"/>
        <v>#DIV/0!</v>
      </c>
      <c r="AD54" s="29">
        <f t="shared" si="14"/>
        <v>4903.25</v>
      </c>
      <c r="AE54" s="30">
        <v>0</v>
      </c>
      <c r="AF54" s="99">
        <v>0</v>
      </c>
      <c r="AG54" s="102">
        <f t="shared" si="18"/>
        <v>0</v>
      </c>
      <c r="AH54" s="114">
        <v>0</v>
      </c>
      <c r="AI54" s="99">
        <v>0</v>
      </c>
      <c r="AJ54" s="104">
        <f t="shared" si="15"/>
        <v>0</v>
      </c>
    </row>
    <row r="55" spans="3:36" s="22" customFormat="1" ht="15" x14ac:dyDescent="0.25">
      <c r="C55" s="23">
        <v>35</v>
      </c>
      <c r="D55" s="38" t="s">
        <v>74</v>
      </c>
      <c r="E55" s="25">
        <v>6486</v>
      </c>
      <c r="F55" s="26">
        <v>6094</v>
      </c>
      <c r="G55" s="27">
        <f t="shared" si="9"/>
        <v>93.956213382670356</v>
      </c>
      <c r="H55" s="27">
        <f t="shared" si="10"/>
        <v>98.627813752698117</v>
      </c>
      <c r="I55" s="28">
        <v>5737</v>
      </c>
      <c r="J55" s="29">
        <f t="shared" si="11"/>
        <v>94.141778798818507</v>
      </c>
      <c r="K55" s="30">
        <v>27</v>
      </c>
      <c r="L55" s="28">
        <v>1245</v>
      </c>
      <c r="M55" s="28" t="s">
        <v>25</v>
      </c>
      <c r="N55" s="28">
        <v>700</v>
      </c>
      <c r="O55" s="28">
        <v>233160</v>
      </c>
      <c r="P55" s="28">
        <v>233160</v>
      </c>
      <c r="Q55" s="99">
        <v>139369</v>
      </c>
      <c r="R55" s="26">
        <v>3500</v>
      </c>
      <c r="S55" s="100">
        <f t="shared" si="16"/>
        <v>472500</v>
      </c>
      <c r="T55" s="28">
        <v>303</v>
      </c>
      <c r="U55" s="29">
        <f t="shared" si="19"/>
        <v>1559.4059405940593</v>
      </c>
      <c r="V55" s="29">
        <v>3290.61</v>
      </c>
      <c r="W55" s="30">
        <v>0</v>
      </c>
      <c r="X55" s="28">
        <v>0</v>
      </c>
      <c r="Y55" s="101">
        <f t="shared" si="12"/>
        <v>0</v>
      </c>
      <c r="Z55" s="28">
        <v>0</v>
      </c>
      <c r="AA55" s="28">
        <f t="shared" si="17"/>
        <v>0</v>
      </c>
      <c r="AB55" s="28">
        <v>0</v>
      </c>
      <c r="AC55" s="29" t="e">
        <f t="shared" si="13"/>
        <v>#DIV/0!</v>
      </c>
      <c r="AD55" s="29">
        <f t="shared" si="14"/>
        <v>3290.61</v>
      </c>
      <c r="AE55" s="30" t="s">
        <v>185</v>
      </c>
      <c r="AF55" s="99">
        <f>820*AL3</f>
        <v>110700</v>
      </c>
      <c r="AG55" s="102">
        <f t="shared" si="18"/>
        <v>19.295799198187204</v>
      </c>
      <c r="AH55" s="114" t="s">
        <v>186</v>
      </c>
      <c r="AI55" s="99">
        <v>1500</v>
      </c>
      <c r="AJ55" s="104">
        <f t="shared" si="15"/>
        <v>584700</v>
      </c>
    </row>
    <row r="56" spans="3:36" s="22" customFormat="1" ht="15" x14ac:dyDescent="0.25">
      <c r="C56" s="23">
        <v>36</v>
      </c>
      <c r="D56" s="38" t="s">
        <v>75</v>
      </c>
      <c r="E56" s="25">
        <v>2966</v>
      </c>
      <c r="F56" s="26">
        <v>2966</v>
      </c>
      <c r="G56" s="27">
        <f t="shared" si="9"/>
        <v>100</v>
      </c>
      <c r="H56" s="27">
        <f t="shared" si="10"/>
        <v>100</v>
      </c>
      <c r="I56" s="28">
        <v>2966</v>
      </c>
      <c r="J56" s="29">
        <f t="shared" si="11"/>
        <v>100</v>
      </c>
      <c r="K56" s="30">
        <v>13</v>
      </c>
      <c r="L56" s="28">
        <v>384</v>
      </c>
      <c r="M56" s="28">
        <v>1248</v>
      </c>
      <c r="N56" s="28">
        <v>400</v>
      </c>
      <c r="O56" s="28">
        <v>117413</v>
      </c>
      <c r="P56" s="28">
        <v>703878</v>
      </c>
      <c r="Q56" s="99">
        <v>31107</v>
      </c>
      <c r="R56" s="26">
        <v>0</v>
      </c>
      <c r="S56" s="100">
        <f t="shared" si="16"/>
        <v>0</v>
      </c>
      <c r="T56" s="28">
        <v>0</v>
      </c>
      <c r="U56" s="29" t="e">
        <f t="shared" si="19"/>
        <v>#DIV/0!</v>
      </c>
      <c r="V56" s="29">
        <v>4132.54</v>
      </c>
      <c r="W56" s="30">
        <v>0</v>
      </c>
      <c r="X56" s="28">
        <v>0</v>
      </c>
      <c r="Y56" s="101">
        <f t="shared" si="12"/>
        <v>0</v>
      </c>
      <c r="Z56" s="28">
        <v>0</v>
      </c>
      <c r="AA56" s="28">
        <f t="shared" si="17"/>
        <v>0</v>
      </c>
      <c r="AB56" s="28">
        <v>0</v>
      </c>
      <c r="AC56" s="29" t="e">
        <f t="shared" si="13"/>
        <v>#DIV/0!</v>
      </c>
      <c r="AD56" s="29">
        <f t="shared" si="14"/>
        <v>4132.54</v>
      </c>
      <c r="AE56" s="30" t="s">
        <v>146</v>
      </c>
      <c r="AF56" s="99">
        <f>3000*AL3</f>
        <v>405000</v>
      </c>
      <c r="AG56" s="102">
        <f t="shared" si="18"/>
        <v>136.54753877275792</v>
      </c>
      <c r="AH56" s="114" t="s">
        <v>187</v>
      </c>
      <c r="AI56" s="99">
        <v>20000</v>
      </c>
      <c r="AJ56" s="104">
        <f t="shared" si="15"/>
        <v>425000</v>
      </c>
    </row>
    <row r="57" spans="3:36" s="22" customFormat="1" ht="15" customHeight="1" x14ac:dyDescent="0.25">
      <c r="C57" s="23">
        <v>37</v>
      </c>
      <c r="D57" s="38" t="s">
        <v>76</v>
      </c>
      <c r="E57" s="25">
        <v>3736</v>
      </c>
      <c r="F57" s="26">
        <v>3736</v>
      </c>
      <c r="G57" s="27">
        <f t="shared" si="9"/>
        <v>100</v>
      </c>
      <c r="H57" s="27">
        <f t="shared" si="10"/>
        <v>100</v>
      </c>
      <c r="I57" s="28">
        <v>3153</v>
      </c>
      <c r="J57" s="29">
        <f t="shared" si="11"/>
        <v>84.395074946466806</v>
      </c>
      <c r="K57" s="30">
        <v>22</v>
      </c>
      <c r="L57" s="28">
        <v>810</v>
      </c>
      <c r="M57" s="28">
        <v>0</v>
      </c>
      <c r="N57" s="28">
        <v>500</v>
      </c>
      <c r="O57" s="28">
        <v>156113</v>
      </c>
      <c r="P57" s="28">
        <v>156113</v>
      </c>
      <c r="Q57" s="99">
        <v>63308</v>
      </c>
      <c r="R57" s="26">
        <v>0</v>
      </c>
      <c r="S57" s="100">
        <f t="shared" si="16"/>
        <v>0</v>
      </c>
      <c r="T57" s="28">
        <v>0</v>
      </c>
      <c r="U57" s="29" t="e">
        <f t="shared" si="19"/>
        <v>#DIV/0!</v>
      </c>
      <c r="V57" s="29">
        <v>4903.25</v>
      </c>
      <c r="W57" s="30">
        <v>0</v>
      </c>
      <c r="X57" s="28">
        <v>0</v>
      </c>
      <c r="Y57" s="101">
        <f t="shared" si="12"/>
        <v>0</v>
      </c>
      <c r="Z57" s="28">
        <v>8200</v>
      </c>
      <c r="AA57" s="28">
        <f t="shared" si="17"/>
        <v>1107000</v>
      </c>
      <c r="AB57" s="28">
        <v>666</v>
      </c>
      <c r="AC57" s="29">
        <f t="shared" si="13"/>
        <v>1662.1621621621621</v>
      </c>
      <c r="AD57" s="29">
        <f t="shared" si="14"/>
        <v>4903.25</v>
      </c>
      <c r="AE57" s="30" t="s">
        <v>188</v>
      </c>
      <c r="AF57" s="99">
        <f>550*AL3</f>
        <v>74250</v>
      </c>
      <c r="AG57" s="102">
        <f t="shared" si="18"/>
        <v>23.549000951474785</v>
      </c>
      <c r="AH57" s="114">
        <v>0</v>
      </c>
      <c r="AI57" s="99">
        <v>0</v>
      </c>
      <c r="AJ57" s="104">
        <f t="shared" si="15"/>
        <v>1181250</v>
      </c>
    </row>
    <row r="58" spans="3:36" s="22" customFormat="1" ht="15" x14ac:dyDescent="0.25">
      <c r="C58" s="23">
        <v>38</v>
      </c>
      <c r="D58" s="38" t="s">
        <v>77</v>
      </c>
      <c r="E58" s="25">
        <v>2030</v>
      </c>
      <c r="F58" s="26">
        <v>1959</v>
      </c>
      <c r="G58" s="27">
        <f t="shared" si="9"/>
        <v>96.502463054187189</v>
      </c>
      <c r="H58" s="27">
        <f t="shared" si="10"/>
        <v>100</v>
      </c>
      <c r="I58" s="28" t="s">
        <v>25</v>
      </c>
      <c r="J58" s="29" t="e">
        <f t="shared" si="11"/>
        <v>#VALUE!</v>
      </c>
      <c r="K58" s="30">
        <v>32</v>
      </c>
      <c r="L58" s="28">
        <v>800</v>
      </c>
      <c r="M58" s="28">
        <v>540</v>
      </c>
      <c r="N58" s="28">
        <v>540</v>
      </c>
      <c r="O58" s="28">
        <v>65190</v>
      </c>
      <c r="P58" s="28">
        <v>52868</v>
      </c>
      <c r="Q58" s="99">
        <v>52569</v>
      </c>
      <c r="R58" s="26">
        <v>1344</v>
      </c>
      <c r="S58" s="100">
        <f t="shared" si="16"/>
        <v>181440</v>
      </c>
      <c r="T58" s="28">
        <v>71</v>
      </c>
      <c r="U58" s="29">
        <f t="shared" si="19"/>
        <v>2555.4929577464791</v>
      </c>
      <c r="V58" s="29">
        <v>3290.61</v>
      </c>
      <c r="W58" s="30">
        <v>0</v>
      </c>
      <c r="X58" s="28">
        <v>0</v>
      </c>
      <c r="Y58" s="101">
        <f t="shared" si="12"/>
        <v>0</v>
      </c>
      <c r="Z58" s="28">
        <v>0</v>
      </c>
      <c r="AA58" s="28">
        <f t="shared" si="17"/>
        <v>0</v>
      </c>
      <c r="AB58" s="28">
        <v>0</v>
      </c>
      <c r="AC58" s="29" t="e">
        <f t="shared" si="13"/>
        <v>#DIV/0!</v>
      </c>
      <c r="AD58" s="29">
        <f t="shared" si="14"/>
        <v>3290.61</v>
      </c>
      <c r="AE58" s="30" t="s">
        <v>189</v>
      </c>
      <c r="AF58" s="99">
        <f>4920*AL3</f>
        <v>664200</v>
      </c>
      <c r="AG58" s="102">
        <f>AF58/E58</f>
        <v>327.192118226601</v>
      </c>
      <c r="AH58" s="114">
        <v>0</v>
      </c>
      <c r="AI58" s="99">
        <v>0</v>
      </c>
      <c r="AJ58" s="104">
        <f t="shared" si="15"/>
        <v>845640</v>
      </c>
    </row>
    <row r="59" spans="3:36" s="22" customFormat="1" ht="15" x14ac:dyDescent="0.25">
      <c r="C59" s="23">
        <v>39</v>
      </c>
      <c r="D59" s="38" t="s">
        <v>78</v>
      </c>
      <c r="E59" s="25">
        <v>1393</v>
      </c>
      <c r="F59" s="26" t="s">
        <v>25</v>
      </c>
      <c r="G59" s="27" t="e">
        <f t="shared" si="9"/>
        <v>#VALUE!</v>
      </c>
      <c r="H59" s="27" t="e">
        <f t="shared" si="10"/>
        <v>#VALUE!</v>
      </c>
      <c r="I59" s="28" t="s">
        <v>25</v>
      </c>
      <c r="J59" s="29" t="e">
        <f t="shared" si="11"/>
        <v>#VALUE!</v>
      </c>
      <c r="K59" s="30" t="s">
        <v>25</v>
      </c>
      <c r="L59" s="28" t="s">
        <v>25</v>
      </c>
      <c r="M59" s="28">
        <v>200</v>
      </c>
      <c r="N59" s="28">
        <v>360</v>
      </c>
      <c r="O59" s="28" t="s">
        <v>25</v>
      </c>
      <c r="P59" s="28" t="s">
        <v>25</v>
      </c>
      <c r="Q59" s="99" t="s">
        <v>25</v>
      </c>
      <c r="R59" s="26">
        <v>0</v>
      </c>
      <c r="S59" s="100">
        <f t="shared" si="16"/>
        <v>0</v>
      </c>
      <c r="T59" s="28">
        <v>0</v>
      </c>
      <c r="U59" s="29" t="e">
        <f t="shared" si="19"/>
        <v>#DIV/0!</v>
      </c>
      <c r="V59" s="29">
        <v>4132.54</v>
      </c>
      <c r="W59" s="30">
        <v>0</v>
      </c>
      <c r="X59" s="28">
        <v>0</v>
      </c>
      <c r="Y59" s="101" t="e">
        <f t="shared" si="12"/>
        <v>#VALUE!</v>
      </c>
      <c r="Z59" s="28">
        <v>0</v>
      </c>
      <c r="AA59" s="28">
        <f t="shared" si="17"/>
        <v>0</v>
      </c>
      <c r="AB59" s="28">
        <v>0</v>
      </c>
      <c r="AC59" s="29" t="e">
        <f t="shared" si="13"/>
        <v>#DIV/0!</v>
      </c>
      <c r="AD59" s="29">
        <f t="shared" si="14"/>
        <v>4132.54</v>
      </c>
      <c r="AE59" s="30">
        <v>0</v>
      </c>
      <c r="AF59" s="99">
        <v>0</v>
      </c>
      <c r="AG59" s="102" t="e">
        <f t="shared" ref="AG59:AG76" si="20">AF59/I59</f>
        <v>#VALUE!</v>
      </c>
      <c r="AH59" s="114">
        <v>0</v>
      </c>
      <c r="AI59" s="99">
        <v>0</v>
      </c>
      <c r="AJ59" s="104">
        <f t="shared" si="15"/>
        <v>0</v>
      </c>
    </row>
    <row r="60" spans="3:36" s="22" customFormat="1" ht="15" x14ac:dyDescent="0.25">
      <c r="C60" s="23">
        <v>40</v>
      </c>
      <c r="D60" s="38" t="s">
        <v>79</v>
      </c>
      <c r="E60" s="25">
        <v>1739</v>
      </c>
      <c r="F60" s="26">
        <v>1603</v>
      </c>
      <c r="G60" s="27">
        <f t="shared" si="9"/>
        <v>92.1794134560092</v>
      </c>
      <c r="H60" s="27">
        <f t="shared" si="10"/>
        <v>92.926969522714202</v>
      </c>
      <c r="I60" s="28">
        <v>1492</v>
      </c>
      <c r="J60" s="29">
        <f t="shared" si="11"/>
        <v>93.075483468496572</v>
      </c>
      <c r="K60" s="30">
        <v>36</v>
      </c>
      <c r="L60" s="28">
        <v>435</v>
      </c>
      <c r="M60" s="28">
        <v>435</v>
      </c>
      <c r="N60" s="28">
        <v>400</v>
      </c>
      <c r="O60" s="28">
        <v>57600</v>
      </c>
      <c r="P60" s="28">
        <v>57600</v>
      </c>
      <c r="Q60" s="99">
        <v>77523</v>
      </c>
      <c r="R60" s="26">
        <v>1000</v>
      </c>
      <c r="S60" s="100">
        <f t="shared" si="16"/>
        <v>135000</v>
      </c>
      <c r="T60" s="28">
        <v>13</v>
      </c>
      <c r="U60" s="29">
        <f t="shared" si="19"/>
        <v>10384.615384615385</v>
      </c>
      <c r="V60" s="29">
        <v>3449.01</v>
      </c>
      <c r="W60" s="30">
        <v>0</v>
      </c>
      <c r="X60" s="28">
        <v>0</v>
      </c>
      <c r="Y60" s="101">
        <f t="shared" si="12"/>
        <v>0</v>
      </c>
      <c r="Z60" s="28">
        <v>0</v>
      </c>
      <c r="AA60" s="28">
        <f t="shared" si="17"/>
        <v>0</v>
      </c>
      <c r="AB60" s="28">
        <v>0</v>
      </c>
      <c r="AC60" s="29" t="e">
        <f t="shared" si="13"/>
        <v>#DIV/0!</v>
      </c>
      <c r="AD60" s="29">
        <f t="shared" si="14"/>
        <v>3449.01</v>
      </c>
      <c r="AE60" s="30">
        <v>0</v>
      </c>
      <c r="AF60" s="99">
        <v>0</v>
      </c>
      <c r="AG60" s="102">
        <f t="shared" si="20"/>
        <v>0</v>
      </c>
      <c r="AH60" s="114">
        <v>0</v>
      </c>
      <c r="AI60" s="99">
        <v>0</v>
      </c>
      <c r="AJ60" s="104">
        <f t="shared" si="15"/>
        <v>135000</v>
      </c>
    </row>
    <row r="61" spans="3:36" s="22" customFormat="1" ht="15" x14ac:dyDescent="0.25">
      <c r="C61" s="23">
        <v>41</v>
      </c>
      <c r="D61" s="38" t="s">
        <v>80</v>
      </c>
      <c r="E61" s="25">
        <v>4044</v>
      </c>
      <c r="F61" s="26">
        <v>4044</v>
      </c>
      <c r="G61" s="27">
        <f t="shared" si="9"/>
        <v>100</v>
      </c>
      <c r="H61" s="27">
        <f t="shared" si="10"/>
        <v>100</v>
      </c>
      <c r="I61" s="28">
        <v>3997</v>
      </c>
      <c r="J61" s="29">
        <f t="shared" si="11"/>
        <v>98.837784371908995</v>
      </c>
      <c r="K61" s="30">
        <v>20</v>
      </c>
      <c r="L61" s="28">
        <v>983</v>
      </c>
      <c r="M61" s="28">
        <f>45*20</f>
        <v>900</v>
      </c>
      <c r="N61" s="28">
        <v>300</v>
      </c>
      <c r="O61" s="28">
        <v>164770</v>
      </c>
      <c r="P61" s="28">
        <v>158810</v>
      </c>
      <c r="Q61" s="99">
        <v>85008</v>
      </c>
      <c r="R61" s="26">
        <v>0</v>
      </c>
      <c r="S61" s="100">
        <f t="shared" si="16"/>
        <v>0</v>
      </c>
      <c r="T61" s="28">
        <v>0</v>
      </c>
      <c r="U61" s="29" t="e">
        <f t="shared" si="19"/>
        <v>#DIV/0!</v>
      </c>
      <c r="V61" s="29">
        <v>4132.54</v>
      </c>
      <c r="W61" s="30" t="s">
        <v>190</v>
      </c>
      <c r="X61" s="28">
        <v>50000</v>
      </c>
      <c r="Y61" s="101">
        <f t="shared" si="12"/>
        <v>12.363996043521267</v>
      </c>
      <c r="Z61" s="28">
        <v>2000</v>
      </c>
      <c r="AA61" s="28">
        <f t="shared" si="17"/>
        <v>270000</v>
      </c>
      <c r="AB61" s="28" t="s">
        <v>25</v>
      </c>
      <c r="AC61" s="29" t="e">
        <f t="shared" si="13"/>
        <v>#VALUE!</v>
      </c>
      <c r="AD61" s="29">
        <f t="shared" si="14"/>
        <v>4132.54</v>
      </c>
      <c r="AE61" s="30">
        <v>0</v>
      </c>
      <c r="AF61" s="99">
        <v>0</v>
      </c>
      <c r="AG61" s="102">
        <f t="shared" si="20"/>
        <v>0</v>
      </c>
      <c r="AH61" s="114">
        <v>0</v>
      </c>
      <c r="AI61" s="99">
        <v>0</v>
      </c>
      <c r="AJ61" s="104">
        <f t="shared" si="15"/>
        <v>320000</v>
      </c>
    </row>
    <row r="62" spans="3:36" s="22" customFormat="1" ht="15" x14ac:dyDescent="0.25">
      <c r="C62" s="23">
        <v>42</v>
      </c>
      <c r="D62" s="38" t="s">
        <v>81</v>
      </c>
      <c r="E62" s="25">
        <v>5685</v>
      </c>
      <c r="F62" s="26">
        <v>3827</v>
      </c>
      <c r="G62" s="27">
        <f t="shared" si="9"/>
        <v>67.317502198768693</v>
      </c>
      <c r="H62" s="27">
        <f t="shared" si="10"/>
        <v>67.317502198768693</v>
      </c>
      <c r="I62" s="28">
        <v>3659</v>
      </c>
      <c r="J62" s="29">
        <f t="shared" si="11"/>
        <v>95.610138489678604</v>
      </c>
      <c r="K62" s="30">
        <v>0</v>
      </c>
      <c r="L62" s="28">
        <v>2600</v>
      </c>
      <c r="M62" s="28">
        <v>1300</v>
      </c>
      <c r="N62" s="28">
        <v>520</v>
      </c>
      <c r="O62" s="28">
        <v>184715</v>
      </c>
      <c r="P62" s="28">
        <v>140497</v>
      </c>
      <c r="Q62" s="99">
        <v>91093</v>
      </c>
      <c r="R62" s="26">
        <v>0</v>
      </c>
      <c r="S62" s="100">
        <f t="shared" si="16"/>
        <v>0</v>
      </c>
      <c r="T62" s="28">
        <v>0</v>
      </c>
      <c r="U62" s="29" t="e">
        <f t="shared" si="19"/>
        <v>#DIV/0!</v>
      </c>
      <c r="V62" s="29">
        <v>4126.79</v>
      </c>
      <c r="W62" s="30">
        <v>0</v>
      </c>
      <c r="X62" s="28">
        <v>0</v>
      </c>
      <c r="Y62" s="101">
        <f t="shared" si="12"/>
        <v>0</v>
      </c>
      <c r="Z62" s="28">
        <v>7940</v>
      </c>
      <c r="AA62" s="28">
        <f t="shared" si="17"/>
        <v>1071900</v>
      </c>
      <c r="AB62" s="28">
        <v>250</v>
      </c>
      <c r="AC62" s="29">
        <f t="shared" si="13"/>
        <v>4287.6000000000004</v>
      </c>
      <c r="AD62" s="29">
        <f t="shared" si="14"/>
        <v>4126.79</v>
      </c>
      <c r="AE62" s="30" t="s">
        <v>191</v>
      </c>
      <c r="AF62" s="99">
        <f>14600*AL3</f>
        <v>1971000</v>
      </c>
      <c r="AG62" s="102">
        <f t="shared" si="20"/>
        <v>538.67176824268927</v>
      </c>
      <c r="AH62" s="114">
        <v>0</v>
      </c>
      <c r="AI62" s="99">
        <v>0</v>
      </c>
      <c r="AJ62" s="104">
        <f t="shared" si="15"/>
        <v>3042900</v>
      </c>
    </row>
    <row r="63" spans="3:36" s="22" customFormat="1" ht="15" x14ac:dyDescent="0.25">
      <c r="C63" s="23">
        <v>43</v>
      </c>
      <c r="D63" s="38" t="s">
        <v>82</v>
      </c>
      <c r="E63" s="25">
        <v>6116</v>
      </c>
      <c r="F63" s="26">
        <v>3460</v>
      </c>
      <c r="G63" s="27">
        <f t="shared" si="9"/>
        <v>56.572923479398298</v>
      </c>
      <c r="H63" s="27">
        <f t="shared" si="10"/>
        <v>108.73119686069326</v>
      </c>
      <c r="I63" s="28">
        <v>2143</v>
      </c>
      <c r="J63" s="29">
        <f t="shared" si="11"/>
        <v>61.936416184971101</v>
      </c>
      <c r="K63" s="30">
        <v>32.880000000000003</v>
      </c>
      <c r="L63" s="28">
        <v>1728</v>
      </c>
      <c r="M63" s="28">
        <v>1086</v>
      </c>
      <c r="N63" s="28">
        <v>470</v>
      </c>
      <c r="O63" s="28">
        <v>187792</v>
      </c>
      <c r="P63" s="28">
        <v>182141</v>
      </c>
      <c r="Q63" s="99">
        <v>105657</v>
      </c>
      <c r="R63" s="26">
        <v>41420</v>
      </c>
      <c r="S63" s="100">
        <f t="shared" si="16"/>
        <v>5591700</v>
      </c>
      <c r="T63" s="28">
        <v>3190</v>
      </c>
      <c r="U63" s="29">
        <f t="shared" si="19"/>
        <v>1752.8840125391851</v>
      </c>
      <c r="V63" s="29">
        <v>4903.25</v>
      </c>
      <c r="W63" s="30">
        <v>0</v>
      </c>
      <c r="X63" s="28">
        <v>0</v>
      </c>
      <c r="Y63" s="101">
        <f t="shared" si="12"/>
        <v>0</v>
      </c>
      <c r="Z63" s="28">
        <v>0</v>
      </c>
      <c r="AA63" s="28">
        <f t="shared" si="17"/>
        <v>0</v>
      </c>
      <c r="AB63" s="28">
        <v>0</v>
      </c>
      <c r="AC63" s="29" t="e">
        <f t="shared" si="13"/>
        <v>#DIV/0!</v>
      </c>
      <c r="AD63" s="29">
        <f t="shared" si="14"/>
        <v>4903.25</v>
      </c>
      <c r="AE63" s="30" t="s">
        <v>192</v>
      </c>
      <c r="AF63" s="99">
        <f>4200*AL3</f>
        <v>567000</v>
      </c>
      <c r="AG63" s="102">
        <f t="shared" si="20"/>
        <v>264.58236117592162</v>
      </c>
      <c r="AH63" s="114">
        <v>0</v>
      </c>
      <c r="AI63" s="99">
        <v>0</v>
      </c>
      <c r="AJ63" s="104">
        <f t="shared" si="15"/>
        <v>6158700</v>
      </c>
    </row>
    <row r="64" spans="3:36" s="22" customFormat="1" ht="15" x14ac:dyDescent="0.25">
      <c r="C64" s="23">
        <v>44</v>
      </c>
      <c r="D64" s="38" t="s">
        <v>83</v>
      </c>
      <c r="E64" s="25">
        <v>2287</v>
      </c>
      <c r="F64" s="26">
        <v>2160</v>
      </c>
      <c r="G64" s="27">
        <f t="shared" si="9"/>
        <v>94.446873633581106</v>
      </c>
      <c r="H64" s="27">
        <f t="shared" si="10"/>
        <v>100</v>
      </c>
      <c r="I64" s="28">
        <v>2097</v>
      </c>
      <c r="J64" s="29">
        <f t="shared" si="11"/>
        <v>97.083333333333329</v>
      </c>
      <c r="K64" s="30">
        <v>26.9</v>
      </c>
      <c r="L64" s="28">
        <v>388</v>
      </c>
      <c r="M64" s="28" t="s">
        <v>25</v>
      </c>
      <c r="N64" s="28" t="s">
        <v>25</v>
      </c>
      <c r="O64" s="28">
        <v>76141</v>
      </c>
      <c r="P64" s="28" t="s">
        <v>25</v>
      </c>
      <c r="Q64" s="99">
        <v>32779</v>
      </c>
      <c r="R64" s="26">
        <v>2530</v>
      </c>
      <c r="S64" s="100">
        <f t="shared" si="16"/>
        <v>341550</v>
      </c>
      <c r="T64" s="28">
        <v>127</v>
      </c>
      <c r="U64" s="29">
        <f t="shared" si="19"/>
        <v>2689.3700787401576</v>
      </c>
      <c r="V64" s="29">
        <v>3290.61</v>
      </c>
      <c r="W64" s="30">
        <v>0</v>
      </c>
      <c r="X64" s="28">
        <v>0</v>
      </c>
      <c r="Y64" s="101">
        <f t="shared" si="12"/>
        <v>0</v>
      </c>
      <c r="Z64" s="28">
        <v>0</v>
      </c>
      <c r="AA64" s="28">
        <f t="shared" si="17"/>
        <v>0</v>
      </c>
      <c r="AB64" s="28">
        <v>0</v>
      </c>
      <c r="AC64" s="29" t="e">
        <f t="shared" si="13"/>
        <v>#DIV/0!</v>
      </c>
      <c r="AD64" s="29">
        <f t="shared" si="14"/>
        <v>3290.61</v>
      </c>
      <c r="AE64" s="30">
        <v>0</v>
      </c>
      <c r="AF64" s="99">
        <v>0</v>
      </c>
      <c r="AG64" s="102">
        <f t="shared" si="20"/>
        <v>0</v>
      </c>
      <c r="AH64" s="114">
        <v>0</v>
      </c>
      <c r="AI64" s="99">
        <v>0</v>
      </c>
      <c r="AJ64" s="104">
        <f t="shared" si="15"/>
        <v>341550</v>
      </c>
    </row>
    <row r="65" spans="3:36" s="22" customFormat="1" ht="15" x14ac:dyDescent="0.25">
      <c r="C65" s="23">
        <v>45</v>
      </c>
      <c r="D65" s="38" t="s">
        <v>84</v>
      </c>
      <c r="E65" s="25">
        <v>1889</v>
      </c>
      <c r="F65" s="26">
        <v>1776</v>
      </c>
      <c r="G65" s="27">
        <f t="shared" si="9"/>
        <v>94.017998941238744</v>
      </c>
      <c r="H65" s="27">
        <f t="shared" si="10"/>
        <v>99.84118581259925</v>
      </c>
      <c r="I65" s="28">
        <v>1776</v>
      </c>
      <c r="J65" s="29">
        <f t="shared" si="11"/>
        <v>100</v>
      </c>
      <c r="K65" s="30">
        <v>20</v>
      </c>
      <c r="L65" s="28">
        <v>756</v>
      </c>
      <c r="M65" s="28">
        <v>600</v>
      </c>
      <c r="N65" s="28">
        <v>660</v>
      </c>
      <c r="O65" s="28">
        <v>114121</v>
      </c>
      <c r="P65" s="28">
        <v>114121</v>
      </c>
      <c r="Q65" s="99">
        <v>112853</v>
      </c>
      <c r="R65" s="26">
        <v>3120</v>
      </c>
      <c r="S65" s="100">
        <f t="shared" si="16"/>
        <v>421200</v>
      </c>
      <c r="T65" s="28">
        <v>110</v>
      </c>
      <c r="U65" s="29">
        <f t="shared" si="19"/>
        <v>3829.090909090909</v>
      </c>
      <c r="V65" s="29">
        <v>4126.79</v>
      </c>
      <c r="W65" s="30">
        <v>0</v>
      </c>
      <c r="X65" s="28">
        <v>0</v>
      </c>
      <c r="Y65" s="101">
        <f t="shared" si="12"/>
        <v>0</v>
      </c>
      <c r="Z65" s="28">
        <v>0</v>
      </c>
      <c r="AA65" s="28">
        <f t="shared" si="17"/>
        <v>0</v>
      </c>
      <c r="AB65" s="28">
        <v>0</v>
      </c>
      <c r="AC65" s="29" t="e">
        <f t="shared" si="13"/>
        <v>#DIV/0!</v>
      </c>
      <c r="AD65" s="29">
        <f t="shared" si="14"/>
        <v>4126.79</v>
      </c>
      <c r="AE65" s="30">
        <v>0</v>
      </c>
      <c r="AF65" s="99">
        <v>0</v>
      </c>
      <c r="AG65" s="102">
        <f t="shared" si="20"/>
        <v>0</v>
      </c>
      <c r="AH65" s="114">
        <v>0</v>
      </c>
      <c r="AI65" s="99">
        <v>0</v>
      </c>
      <c r="AJ65" s="104">
        <f t="shared" si="15"/>
        <v>421200</v>
      </c>
    </row>
    <row r="66" spans="3:36" s="22" customFormat="1" ht="15" x14ac:dyDescent="0.25">
      <c r="C66" s="23">
        <v>46</v>
      </c>
      <c r="D66" s="38" t="s">
        <v>85</v>
      </c>
      <c r="E66" s="25">
        <v>3110</v>
      </c>
      <c r="F66" s="26">
        <v>3022</v>
      </c>
      <c r="G66" s="27">
        <f t="shared" si="9"/>
        <v>97.170418006430864</v>
      </c>
      <c r="H66" s="27">
        <f t="shared" si="10"/>
        <v>99.678456591639872</v>
      </c>
      <c r="I66" s="28">
        <v>3022</v>
      </c>
      <c r="J66" s="29">
        <f t="shared" si="11"/>
        <v>100</v>
      </c>
      <c r="K66" s="30">
        <v>34</v>
      </c>
      <c r="L66" s="28">
        <v>1728</v>
      </c>
      <c r="M66" s="28">
        <v>786</v>
      </c>
      <c r="N66" s="28">
        <v>260</v>
      </c>
      <c r="O66" s="28">
        <v>133739</v>
      </c>
      <c r="P66" s="28">
        <v>131283</v>
      </c>
      <c r="Q66" s="99">
        <v>88515</v>
      </c>
      <c r="R66" s="26">
        <v>3700</v>
      </c>
      <c r="S66" s="100">
        <f t="shared" si="16"/>
        <v>499500</v>
      </c>
      <c r="T66" s="28">
        <v>78</v>
      </c>
      <c r="U66" s="29">
        <f t="shared" si="19"/>
        <v>6403.8461538461543</v>
      </c>
      <c r="V66" s="29">
        <v>4126.79</v>
      </c>
      <c r="W66" s="30">
        <v>0</v>
      </c>
      <c r="X66" s="28">
        <v>0</v>
      </c>
      <c r="Y66" s="101">
        <f t="shared" si="12"/>
        <v>0</v>
      </c>
      <c r="Z66" s="28">
        <v>0</v>
      </c>
      <c r="AA66" s="28">
        <f t="shared" si="17"/>
        <v>0</v>
      </c>
      <c r="AB66" s="28">
        <v>0</v>
      </c>
      <c r="AC66" s="29" t="e">
        <f t="shared" si="13"/>
        <v>#DIV/0!</v>
      </c>
      <c r="AD66" s="29">
        <f t="shared" si="14"/>
        <v>4126.79</v>
      </c>
      <c r="AE66" s="30">
        <v>0</v>
      </c>
      <c r="AF66" s="99">
        <v>0</v>
      </c>
      <c r="AG66" s="102">
        <f t="shared" si="20"/>
        <v>0</v>
      </c>
      <c r="AH66" s="114">
        <v>0</v>
      </c>
      <c r="AI66" s="99">
        <v>0</v>
      </c>
      <c r="AJ66" s="104">
        <f t="shared" si="15"/>
        <v>499500</v>
      </c>
    </row>
    <row r="67" spans="3:36" s="22" customFormat="1" ht="15" x14ac:dyDescent="0.25">
      <c r="C67" s="23">
        <v>47</v>
      </c>
      <c r="D67" s="38" t="s">
        <v>86</v>
      </c>
      <c r="E67" s="25">
        <v>836</v>
      </c>
      <c r="F67" s="26">
        <v>580</v>
      </c>
      <c r="G67" s="27">
        <f t="shared" si="9"/>
        <v>69.377990430622006</v>
      </c>
      <c r="H67" s="27">
        <f t="shared" si="10"/>
        <v>70.574162679425839</v>
      </c>
      <c r="I67" s="28">
        <v>568</v>
      </c>
      <c r="J67" s="29">
        <f t="shared" si="11"/>
        <v>97.931034482758619</v>
      </c>
      <c r="K67" s="30">
        <v>3</v>
      </c>
      <c r="L67" s="28">
        <v>250</v>
      </c>
      <c r="M67" s="28">
        <v>250</v>
      </c>
      <c r="N67" s="28">
        <v>300</v>
      </c>
      <c r="O67" s="28">
        <v>16617</v>
      </c>
      <c r="P67" s="28">
        <v>16617</v>
      </c>
      <c r="Q67" s="99">
        <v>25137</v>
      </c>
      <c r="R67" s="26">
        <v>700</v>
      </c>
      <c r="S67" s="100">
        <f t="shared" si="16"/>
        <v>94500</v>
      </c>
      <c r="T67" s="28">
        <v>10</v>
      </c>
      <c r="U67" s="29">
        <f t="shared" si="19"/>
        <v>9450</v>
      </c>
      <c r="V67" s="29">
        <v>3449.01</v>
      </c>
      <c r="W67" s="30">
        <v>0</v>
      </c>
      <c r="X67" s="28">
        <v>0</v>
      </c>
      <c r="Y67" s="101">
        <f t="shared" si="12"/>
        <v>0</v>
      </c>
      <c r="Z67" s="28">
        <v>0</v>
      </c>
      <c r="AA67" s="28">
        <f t="shared" si="17"/>
        <v>0</v>
      </c>
      <c r="AB67" s="28">
        <v>0</v>
      </c>
      <c r="AC67" s="29" t="e">
        <f t="shared" si="13"/>
        <v>#DIV/0!</v>
      </c>
      <c r="AD67" s="29">
        <f t="shared" si="14"/>
        <v>3449.01</v>
      </c>
      <c r="AE67" s="30" t="s">
        <v>193</v>
      </c>
      <c r="AF67" s="99">
        <v>3500</v>
      </c>
      <c r="AG67" s="102">
        <f t="shared" si="20"/>
        <v>6.1619718309859151</v>
      </c>
      <c r="AH67" s="30" t="s">
        <v>193</v>
      </c>
      <c r="AI67" s="99">
        <v>3500</v>
      </c>
      <c r="AJ67" s="104">
        <f t="shared" si="15"/>
        <v>101500</v>
      </c>
    </row>
    <row r="68" spans="3:36" s="22" customFormat="1" ht="15" x14ac:dyDescent="0.25">
      <c r="C68" s="23">
        <v>48</v>
      </c>
      <c r="D68" s="38" t="s">
        <v>87</v>
      </c>
      <c r="E68" s="25">
        <v>3585</v>
      </c>
      <c r="F68" s="26">
        <v>2997</v>
      </c>
      <c r="G68" s="27">
        <f t="shared" si="9"/>
        <v>83.598326359832626</v>
      </c>
      <c r="H68" s="27">
        <f t="shared" si="10"/>
        <v>85.271966527196653</v>
      </c>
      <c r="I68" s="28">
        <v>2437</v>
      </c>
      <c r="J68" s="29">
        <f t="shared" si="11"/>
        <v>81.31464798131465</v>
      </c>
      <c r="K68" s="30">
        <v>28.16</v>
      </c>
      <c r="L68" s="28" t="s">
        <v>25</v>
      </c>
      <c r="M68" s="28" t="s">
        <v>25</v>
      </c>
      <c r="N68" s="28">
        <v>500</v>
      </c>
      <c r="O68" s="28">
        <v>104190</v>
      </c>
      <c r="P68" s="28">
        <v>99365</v>
      </c>
      <c r="Q68" s="99">
        <v>94147</v>
      </c>
      <c r="R68" s="26">
        <v>2300</v>
      </c>
      <c r="S68" s="100">
        <f t="shared" si="16"/>
        <v>310500</v>
      </c>
      <c r="T68" s="28">
        <v>60</v>
      </c>
      <c r="U68" s="29">
        <f t="shared" si="19"/>
        <v>5175</v>
      </c>
      <c r="V68" s="29">
        <v>4132.54</v>
      </c>
      <c r="W68" s="30">
        <v>0</v>
      </c>
      <c r="X68" s="28">
        <v>0</v>
      </c>
      <c r="Y68" s="101">
        <f t="shared" si="12"/>
        <v>0</v>
      </c>
      <c r="Z68" s="28">
        <v>0</v>
      </c>
      <c r="AA68" s="28">
        <f t="shared" si="17"/>
        <v>0</v>
      </c>
      <c r="AB68" s="28">
        <v>0</v>
      </c>
      <c r="AC68" s="29" t="e">
        <f t="shared" si="13"/>
        <v>#DIV/0!</v>
      </c>
      <c r="AD68" s="29">
        <f t="shared" si="14"/>
        <v>4132.54</v>
      </c>
      <c r="AE68" s="30" t="s">
        <v>194</v>
      </c>
      <c r="AF68" s="99">
        <v>54000</v>
      </c>
      <c r="AG68" s="102">
        <f t="shared" si="20"/>
        <v>22.15839146491588</v>
      </c>
      <c r="AH68" s="114">
        <v>0</v>
      </c>
      <c r="AI68" s="99">
        <v>0</v>
      </c>
      <c r="AJ68" s="104">
        <f t="shared" si="15"/>
        <v>364500</v>
      </c>
    </row>
    <row r="69" spans="3:36" s="22" customFormat="1" ht="15" x14ac:dyDescent="0.25">
      <c r="C69" s="23">
        <v>49</v>
      </c>
      <c r="D69" s="38" t="s">
        <v>88</v>
      </c>
      <c r="E69" s="25">
        <v>2077</v>
      </c>
      <c r="F69" s="26">
        <v>1250</v>
      </c>
      <c r="G69" s="27">
        <f t="shared" si="9"/>
        <v>60.1829561868079</v>
      </c>
      <c r="H69" s="27">
        <f t="shared" si="10"/>
        <v>100</v>
      </c>
      <c r="I69" s="28">
        <v>1176</v>
      </c>
      <c r="J69" s="29">
        <f t="shared" si="11"/>
        <v>94.08</v>
      </c>
      <c r="K69" s="30">
        <v>42</v>
      </c>
      <c r="L69" s="28">
        <f>170*20</f>
        <v>3400</v>
      </c>
      <c r="M69" s="28">
        <v>380</v>
      </c>
      <c r="N69" s="28">
        <v>400</v>
      </c>
      <c r="O69" s="28">
        <v>50821</v>
      </c>
      <c r="P69" s="28">
        <v>50821</v>
      </c>
      <c r="Q69" s="99">
        <v>23103</v>
      </c>
      <c r="R69" s="26">
        <v>8000</v>
      </c>
      <c r="S69" s="100">
        <f t="shared" si="16"/>
        <v>1080000</v>
      </c>
      <c r="T69" s="28">
        <v>827</v>
      </c>
      <c r="U69" s="29">
        <f t="shared" si="19"/>
        <v>1305.925030229746</v>
      </c>
      <c r="V69" s="29">
        <v>3290.61</v>
      </c>
      <c r="W69" s="30">
        <v>0</v>
      </c>
      <c r="X69" s="28">
        <v>0</v>
      </c>
      <c r="Y69" s="101">
        <f t="shared" si="12"/>
        <v>0</v>
      </c>
      <c r="Z69" s="28">
        <v>0</v>
      </c>
      <c r="AA69" s="28">
        <f t="shared" si="17"/>
        <v>0</v>
      </c>
      <c r="AB69" s="28">
        <v>0</v>
      </c>
      <c r="AC69" s="29" t="e">
        <f t="shared" si="13"/>
        <v>#DIV/0!</v>
      </c>
      <c r="AD69" s="29">
        <f t="shared" si="14"/>
        <v>3290.61</v>
      </c>
      <c r="AE69" s="30">
        <v>0</v>
      </c>
      <c r="AF69" s="99">
        <v>0</v>
      </c>
      <c r="AG69" s="102">
        <f t="shared" si="20"/>
        <v>0</v>
      </c>
      <c r="AH69" s="114">
        <v>0</v>
      </c>
      <c r="AI69" s="99">
        <v>0</v>
      </c>
      <c r="AJ69" s="104">
        <f t="shared" si="15"/>
        <v>1080000</v>
      </c>
    </row>
    <row r="70" spans="3:36" s="22" customFormat="1" ht="15" x14ac:dyDescent="0.25">
      <c r="C70" s="23">
        <v>50</v>
      </c>
      <c r="D70" s="38" t="s">
        <v>89</v>
      </c>
      <c r="E70" s="25">
        <v>2159</v>
      </c>
      <c r="F70" s="26">
        <v>1532</v>
      </c>
      <c r="G70" s="27">
        <f t="shared" si="9"/>
        <v>70.958777211672071</v>
      </c>
      <c r="H70" s="27">
        <f t="shared" si="10"/>
        <v>70.958777211672071</v>
      </c>
      <c r="I70" s="28">
        <v>1353</v>
      </c>
      <c r="J70" s="29">
        <f t="shared" si="11"/>
        <v>88.315926892950387</v>
      </c>
      <c r="K70" s="30">
        <v>25</v>
      </c>
      <c r="L70" s="28">
        <v>3196</v>
      </c>
      <c r="M70" s="28">
        <v>730</v>
      </c>
      <c r="N70" s="28">
        <v>550</v>
      </c>
      <c r="O70" s="28">
        <v>52757</v>
      </c>
      <c r="P70" s="28">
        <v>48431</v>
      </c>
      <c r="Q70" s="99">
        <v>56096</v>
      </c>
      <c r="R70" s="26">
        <v>0</v>
      </c>
      <c r="S70" s="100">
        <f t="shared" si="16"/>
        <v>0</v>
      </c>
      <c r="T70" s="28">
        <v>0</v>
      </c>
      <c r="U70" s="29" t="e">
        <f t="shared" si="19"/>
        <v>#DIV/0!</v>
      </c>
      <c r="V70" s="29">
        <v>4903.25</v>
      </c>
      <c r="W70" s="30">
        <v>0</v>
      </c>
      <c r="X70" s="28">
        <v>0</v>
      </c>
      <c r="Y70" s="101">
        <f t="shared" si="12"/>
        <v>0</v>
      </c>
      <c r="Z70" s="28">
        <v>0</v>
      </c>
      <c r="AA70" s="28">
        <f t="shared" si="17"/>
        <v>0</v>
      </c>
      <c r="AB70" s="28">
        <v>0</v>
      </c>
      <c r="AC70" s="29" t="e">
        <f t="shared" si="13"/>
        <v>#DIV/0!</v>
      </c>
      <c r="AD70" s="29">
        <f t="shared" si="14"/>
        <v>4903.25</v>
      </c>
      <c r="AE70" s="30">
        <v>0</v>
      </c>
      <c r="AF70" s="99">
        <v>0</v>
      </c>
      <c r="AG70" s="102">
        <f t="shared" si="20"/>
        <v>0</v>
      </c>
      <c r="AH70" s="114">
        <v>0</v>
      </c>
      <c r="AI70" s="99">
        <v>0</v>
      </c>
      <c r="AJ70" s="104">
        <f t="shared" si="15"/>
        <v>0</v>
      </c>
    </row>
    <row r="71" spans="3:36" s="22" customFormat="1" ht="15" x14ac:dyDescent="0.25">
      <c r="C71" s="23">
        <v>51</v>
      </c>
      <c r="D71" s="38" t="s">
        <v>90</v>
      </c>
      <c r="E71" s="25">
        <v>6153</v>
      </c>
      <c r="F71" s="26">
        <v>3853</v>
      </c>
      <c r="G71" s="27">
        <f t="shared" si="9"/>
        <v>62.619860230781732</v>
      </c>
      <c r="H71" s="27">
        <f t="shared" si="10"/>
        <v>100</v>
      </c>
      <c r="I71" s="28">
        <v>3219</v>
      </c>
      <c r="J71" s="29">
        <f t="shared" si="11"/>
        <v>83.545289384894886</v>
      </c>
      <c r="K71" s="30">
        <v>19.66</v>
      </c>
      <c r="L71" s="28">
        <v>1450</v>
      </c>
      <c r="M71" s="28">
        <v>1172</v>
      </c>
      <c r="N71" s="28">
        <v>450</v>
      </c>
      <c r="O71" s="28">
        <v>174624</v>
      </c>
      <c r="P71" s="28">
        <v>165893</v>
      </c>
      <c r="Q71" s="99">
        <v>122000</v>
      </c>
      <c r="R71" s="26">
        <v>24492</v>
      </c>
      <c r="S71" s="100">
        <f t="shared" si="16"/>
        <v>3306420</v>
      </c>
      <c r="T71" s="28">
        <v>2300</v>
      </c>
      <c r="U71" s="29">
        <f t="shared" si="19"/>
        <v>1437.5739130434783</v>
      </c>
      <c r="V71" s="29">
        <v>4903.25</v>
      </c>
      <c r="W71" s="30" t="s">
        <v>184</v>
      </c>
      <c r="X71" s="28">
        <v>4054000</v>
      </c>
      <c r="Y71" s="101">
        <f t="shared" si="12"/>
        <v>1052.1671424863744</v>
      </c>
      <c r="Z71" s="28">
        <v>0</v>
      </c>
      <c r="AA71" s="28">
        <f t="shared" si="17"/>
        <v>0</v>
      </c>
      <c r="AB71" s="28">
        <v>0</v>
      </c>
      <c r="AC71" s="29" t="e">
        <f t="shared" si="13"/>
        <v>#DIV/0!</v>
      </c>
      <c r="AD71" s="29">
        <f t="shared" si="14"/>
        <v>4903.25</v>
      </c>
      <c r="AE71" s="30" t="s">
        <v>195</v>
      </c>
      <c r="AF71" s="99">
        <f>400*AL3</f>
        <v>54000</v>
      </c>
      <c r="AG71" s="102">
        <f t="shared" si="20"/>
        <v>16.775396085740912</v>
      </c>
      <c r="AH71" s="114">
        <v>0</v>
      </c>
      <c r="AI71" s="99">
        <v>0</v>
      </c>
      <c r="AJ71" s="104">
        <f t="shared" si="15"/>
        <v>7414420</v>
      </c>
    </row>
    <row r="72" spans="3:36" s="22" customFormat="1" ht="13.35" customHeight="1" x14ac:dyDescent="0.25">
      <c r="C72" s="23">
        <v>52</v>
      </c>
      <c r="D72" s="38" t="s">
        <v>91</v>
      </c>
      <c r="E72" s="25">
        <v>1966</v>
      </c>
      <c r="F72" s="26">
        <v>1966</v>
      </c>
      <c r="G72" s="27">
        <f t="shared" si="9"/>
        <v>100</v>
      </c>
      <c r="H72" s="27">
        <f t="shared" si="10"/>
        <v>100</v>
      </c>
      <c r="I72" s="28">
        <v>1913</v>
      </c>
      <c r="J72" s="29">
        <f t="shared" si="11"/>
        <v>97.304170905391658</v>
      </c>
      <c r="K72" s="30">
        <v>0</v>
      </c>
      <c r="L72" s="28">
        <v>1195</v>
      </c>
      <c r="M72" s="28">
        <v>646</v>
      </c>
      <c r="N72" s="28">
        <v>300</v>
      </c>
      <c r="O72" s="28">
        <v>85000</v>
      </c>
      <c r="P72" s="28">
        <v>83488</v>
      </c>
      <c r="Q72" s="99" t="s">
        <v>25</v>
      </c>
      <c r="R72" s="26">
        <v>0</v>
      </c>
      <c r="S72" s="100">
        <f t="shared" si="16"/>
        <v>0</v>
      </c>
      <c r="T72" s="28">
        <v>0</v>
      </c>
      <c r="U72" s="29" t="e">
        <f t="shared" si="19"/>
        <v>#DIV/0!</v>
      </c>
      <c r="V72" s="29">
        <v>3449.01</v>
      </c>
      <c r="W72" s="30">
        <v>0</v>
      </c>
      <c r="X72" s="28">
        <v>0</v>
      </c>
      <c r="Y72" s="101">
        <f t="shared" si="12"/>
        <v>0</v>
      </c>
      <c r="Z72" s="28">
        <v>0</v>
      </c>
      <c r="AA72" s="28">
        <f t="shared" si="17"/>
        <v>0</v>
      </c>
      <c r="AB72" s="28">
        <v>0</v>
      </c>
      <c r="AC72" s="29" t="e">
        <f t="shared" si="13"/>
        <v>#DIV/0!</v>
      </c>
      <c r="AD72" s="29">
        <f t="shared" si="14"/>
        <v>3449.01</v>
      </c>
      <c r="AE72" s="30">
        <v>0</v>
      </c>
      <c r="AF72" s="99">
        <v>0</v>
      </c>
      <c r="AG72" s="102">
        <f t="shared" si="20"/>
        <v>0</v>
      </c>
      <c r="AH72" s="114">
        <v>0</v>
      </c>
      <c r="AI72" s="99">
        <v>0</v>
      </c>
      <c r="AJ72" s="104">
        <f t="shared" si="15"/>
        <v>0</v>
      </c>
    </row>
    <row r="73" spans="3:36" s="22" customFormat="1" ht="15" customHeight="1" x14ac:dyDescent="0.25">
      <c r="C73" s="23">
        <v>53</v>
      </c>
      <c r="D73" s="38" t="s">
        <v>92</v>
      </c>
      <c r="E73" s="25">
        <v>7850</v>
      </c>
      <c r="F73" s="26">
        <v>7049</v>
      </c>
      <c r="G73" s="27">
        <f t="shared" si="9"/>
        <v>89.796178343949038</v>
      </c>
      <c r="H73" s="27">
        <f t="shared" si="10"/>
        <v>89.796178343949038</v>
      </c>
      <c r="I73" s="28">
        <v>5627</v>
      </c>
      <c r="J73" s="29">
        <f t="shared" si="11"/>
        <v>79.82692580507873</v>
      </c>
      <c r="K73" s="30">
        <v>9.9</v>
      </c>
      <c r="L73" s="28">
        <v>2328</v>
      </c>
      <c r="M73" s="28">
        <v>1800</v>
      </c>
      <c r="N73" s="28">
        <v>750</v>
      </c>
      <c r="O73" s="28">
        <v>286917</v>
      </c>
      <c r="P73" s="28">
        <v>263669</v>
      </c>
      <c r="Q73" s="99">
        <v>100685</v>
      </c>
      <c r="R73" s="26">
        <v>0</v>
      </c>
      <c r="S73" s="100">
        <f t="shared" si="16"/>
        <v>0</v>
      </c>
      <c r="T73" s="28">
        <v>0</v>
      </c>
      <c r="U73" s="29" t="e">
        <f t="shared" si="19"/>
        <v>#DIV/0!</v>
      </c>
      <c r="V73" s="29">
        <v>3290.61</v>
      </c>
      <c r="W73" s="30">
        <v>0</v>
      </c>
      <c r="X73" s="28">
        <v>0</v>
      </c>
      <c r="Y73" s="101">
        <f t="shared" si="12"/>
        <v>0</v>
      </c>
      <c r="Z73" s="28">
        <v>0</v>
      </c>
      <c r="AA73" s="28">
        <f t="shared" si="17"/>
        <v>0</v>
      </c>
      <c r="AB73" s="28">
        <v>0</v>
      </c>
      <c r="AC73" s="29" t="e">
        <f t="shared" si="13"/>
        <v>#DIV/0!</v>
      </c>
      <c r="AD73" s="29">
        <f t="shared" si="14"/>
        <v>3290.61</v>
      </c>
      <c r="AE73" s="30">
        <v>0</v>
      </c>
      <c r="AF73" s="99">
        <v>0</v>
      </c>
      <c r="AG73" s="102">
        <f t="shared" si="20"/>
        <v>0</v>
      </c>
      <c r="AH73" s="114">
        <v>0</v>
      </c>
      <c r="AI73" s="99">
        <v>0</v>
      </c>
      <c r="AJ73" s="104">
        <f t="shared" si="15"/>
        <v>0</v>
      </c>
    </row>
    <row r="74" spans="3:36" s="22" customFormat="1" ht="36" x14ac:dyDescent="0.25">
      <c r="C74" s="23">
        <v>54</v>
      </c>
      <c r="D74" s="38" t="s">
        <v>93</v>
      </c>
      <c r="E74" s="25">
        <v>8252</v>
      </c>
      <c r="F74" s="26">
        <v>7800</v>
      </c>
      <c r="G74" s="27">
        <f t="shared" si="9"/>
        <v>94.522539990305376</v>
      </c>
      <c r="H74" s="27">
        <f t="shared" si="10"/>
        <v>98.460979156568101</v>
      </c>
      <c r="I74" s="28">
        <v>7300</v>
      </c>
      <c r="J74" s="29">
        <f t="shared" si="11"/>
        <v>93.589743589743591</v>
      </c>
      <c r="K74" s="30">
        <v>24.59</v>
      </c>
      <c r="L74" s="28">
        <v>1760</v>
      </c>
      <c r="M74" s="28">
        <v>560</v>
      </c>
      <c r="N74" s="28">
        <v>600</v>
      </c>
      <c r="O74" s="28">
        <v>242499</v>
      </c>
      <c r="P74" s="28">
        <v>95643</v>
      </c>
      <c r="Q74" s="99">
        <v>62682</v>
      </c>
      <c r="R74" s="26">
        <v>4000</v>
      </c>
      <c r="S74" s="100">
        <f t="shared" si="16"/>
        <v>540000</v>
      </c>
      <c r="T74" s="28">
        <v>325</v>
      </c>
      <c r="U74" s="29">
        <f t="shared" si="19"/>
        <v>1661.5384615384614</v>
      </c>
      <c r="V74" s="29">
        <v>3290.61</v>
      </c>
      <c r="W74" s="105" t="s">
        <v>183</v>
      </c>
      <c r="X74" s="28">
        <v>20000</v>
      </c>
      <c r="Y74" s="101">
        <f t="shared" si="12"/>
        <v>2.5641025641025643</v>
      </c>
      <c r="Z74" s="28">
        <v>0</v>
      </c>
      <c r="AA74" s="28">
        <f t="shared" si="17"/>
        <v>0</v>
      </c>
      <c r="AB74" s="28">
        <v>0</v>
      </c>
      <c r="AC74" s="29" t="e">
        <f t="shared" si="13"/>
        <v>#DIV/0!</v>
      </c>
      <c r="AD74" s="29">
        <f t="shared" si="14"/>
        <v>3290.61</v>
      </c>
      <c r="AE74" s="105" t="s">
        <v>196</v>
      </c>
      <c r="AF74" s="99">
        <v>1400000</v>
      </c>
      <c r="AG74" s="102">
        <f t="shared" si="20"/>
        <v>191.78082191780823</v>
      </c>
      <c r="AH74" s="114">
        <v>0</v>
      </c>
      <c r="AI74" s="99">
        <v>0</v>
      </c>
      <c r="AJ74" s="104">
        <f t="shared" si="15"/>
        <v>1960000</v>
      </c>
    </row>
    <row r="75" spans="3:36" s="22" customFormat="1" ht="15" x14ac:dyDescent="0.25">
      <c r="C75" s="23">
        <v>55</v>
      </c>
      <c r="D75" s="38" t="s">
        <v>94</v>
      </c>
      <c r="E75" s="25">
        <v>2543</v>
      </c>
      <c r="F75" s="26" t="s">
        <v>25</v>
      </c>
      <c r="G75" s="27" t="e">
        <f t="shared" si="9"/>
        <v>#VALUE!</v>
      </c>
      <c r="H75" s="27" t="e">
        <f t="shared" si="10"/>
        <v>#VALUE!</v>
      </c>
      <c r="I75" s="28" t="s">
        <v>25</v>
      </c>
      <c r="J75" s="29" t="e">
        <f t="shared" si="11"/>
        <v>#VALUE!</v>
      </c>
      <c r="K75" s="30" t="s">
        <v>25</v>
      </c>
      <c r="L75" s="28" t="s">
        <v>25</v>
      </c>
      <c r="M75" s="28" t="s">
        <v>25</v>
      </c>
      <c r="N75" s="28" t="s">
        <v>25</v>
      </c>
      <c r="O75" s="28">
        <v>56024</v>
      </c>
      <c r="P75" s="28">
        <v>48291</v>
      </c>
      <c r="Q75" s="99">
        <v>53694</v>
      </c>
      <c r="R75" s="26">
        <v>0</v>
      </c>
      <c r="S75" s="100">
        <f>R75*$AL$3</f>
        <v>0</v>
      </c>
      <c r="T75" s="28">
        <v>0</v>
      </c>
      <c r="U75" s="29" t="e">
        <f t="shared" si="19"/>
        <v>#DIV/0!</v>
      </c>
      <c r="V75" s="29">
        <v>3290.61</v>
      </c>
      <c r="W75" s="30">
        <v>0</v>
      </c>
      <c r="X75" s="28">
        <v>0</v>
      </c>
      <c r="Y75" s="101" t="e">
        <f t="shared" si="12"/>
        <v>#VALUE!</v>
      </c>
      <c r="Z75" s="28">
        <v>0</v>
      </c>
      <c r="AA75" s="28">
        <f t="shared" si="17"/>
        <v>0</v>
      </c>
      <c r="AB75" s="28">
        <v>0</v>
      </c>
      <c r="AC75" s="29" t="e">
        <f t="shared" si="13"/>
        <v>#DIV/0!</v>
      </c>
      <c r="AD75" s="29">
        <f t="shared" si="14"/>
        <v>3290.61</v>
      </c>
      <c r="AE75" s="30">
        <v>0</v>
      </c>
      <c r="AF75" s="99">
        <v>0</v>
      </c>
      <c r="AG75" s="102" t="e">
        <f t="shared" si="20"/>
        <v>#VALUE!</v>
      </c>
      <c r="AH75" s="114">
        <v>0</v>
      </c>
      <c r="AI75" s="99">
        <v>0</v>
      </c>
      <c r="AJ75" s="104">
        <f t="shared" si="15"/>
        <v>0</v>
      </c>
    </row>
    <row r="76" spans="3:36" s="22" customFormat="1" ht="15" x14ac:dyDescent="0.25">
      <c r="C76" s="68">
        <v>56</v>
      </c>
      <c r="D76" s="69" t="s">
        <v>95</v>
      </c>
      <c r="E76" s="70">
        <v>1620</v>
      </c>
      <c r="F76" s="71">
        <v>1620</v>
      </c>
      <c r="G76" s="72">
        <f t="shared" si="9"/>
        <v>100</v>
      </c>
      <c r="H76" s="72">
        <f t="shared" si="10"/>
        <v>100</v>
      </c>
      <c r="I76" s="73">
        <v>1592</v>
      </c>
      <c r="J76" s="72">
        <f t="shared" si="11"/>
        <v>98.271604938271608</v>
      </c>
      <c r="K76" s="74">
        <v>29.54</v>
      </c>
      <c r="L76" s="73">
        <f>192*20</f>
        <v>3840</v>
      </c>
      <c r="M76" s="73">
        <f>40*22</f>
        <v>880</v>
      </c>
      <c r="N76" s="73">
        <v>500</v>
      </c>
      <c r="O76" s="73">
        <v>66734</v>
      </c>
      <c r="P76" s="73">
        <v>66734</v>
      </c>
      <c r="Q76" s="75">
        <v>101458</v>
      </c>
      <c r="R76" s="71">
        <v>0</v>
      </c>
      <c r="S76" s="73">
        <f>R76*$AL$3</f>
        <v>0</v>
      </c>
      <c r="T76" s="73">
        <v>0</v>
      </c>
      <c r="U76" s="72" t="e">
        <f t="shared" si="19"/>
        <v>#DIV/0!</v>
      </c>
      <c r="V76" s="72">
        <v>4903.25</v>
      </c>
      <c r="W76" s="74">
        <v>0</v>
      </c>
      <c r="X76" s="73">
        <v>0</v>
      </c>
      <c r="Y76" s="132">
        <f t="shared" si="12"/>
        <v>0</v>
      </c>
      <c r="Z76" s="73">
        <v>0</v>
      </c>
      <c r="AA76" s="73">
        <f t="shared" si="17"/>
        <v>0</v>
      </c>
      <c r="AB76" s="73">
        <v>0</v>
      </c>
      <c r="AC76" s="72" t="e">
        <f t="shared" si="13"/>
        <v>#DIV/0!</v>
      </c>
      <c r="AD76" s="72">
        <f t="shared" si="14"/>
        <v>4903.25</v>
      </c>
      <c r="AE76" s="30" t="s">
        <v>197</v>
      </c>
      <c r="AF76" s="99">
        <f>14679*AL3</f>
        <v>1981665</v>
      </c>
      <c r="AG76" s="133">
        <f t="shared" si="20"/>
        <v>1244.764447236181</v>
      </c>
      <c r="AH76" s="136"/>
      <c r="AI76" s="73">
        <v>0</v>
      </c>
      <c r="AJ76" s="135">
        <f>S78+X76+AA76+AF78+AI76+AF77+AF76</f>
        <v>2281665</v>
      </c>
    </row>
    <row r="77" spans="3:36" s="22" customFormat="1" ht="36" x14ac:dyDescent="0.25">
      <c r="C77" s="68"/>
      <c r="D77" s="69"/>
      <c r="E77" s="70"/>
      <c r="F77" s="71"/>
      <c r="G77" s="72"/>
      <c r="H77" s="72"/>
      <c r="I77" s="73"/>
      <c r="J77" s="72"/>
      <c r="K77" s="74"/>
      <c r="L77" s="73"/>
      <c r="M77" s="73"/>
      <c r="N77" s="73"/>
      <c r="O77" s="73"/>
      <c r="P77" s="73"/>
      <c r="Q77" s="75"/>
      <c r="R77" s="71"/>
      <c r="S77" s="73"/>
      <c r="T77" s="73"/>
      <c r="U77" s="72"/>
      <c r="V77" s="72"/>
      <c r="W77" s="74"/>
      <c r="X77" s="73"/>
      <c r="Y77" s="132"/>
      <c r="Z77" s="73"/>
      <c r="AA77" s="73"/>
      <c r="AB77" s="73"/>
      <c r="AC77" s="72"/>
      <c r="AD77" s="72"/>
      <c r="AE77" s="105" t="s">
        <v>198</v>
      </c>
      <c r="AF77" s="99">
        <v>200000</v>
      </c>
      <c r="AG77" s="133"/>
      <c r="AH77" s="136"/>
      <c r="AI77" s="73"/>
      <c r="AJ77" s="135"/>
    </row>
    <row r="78" spans="3:36" s="22" customFormat="1" ht="15" x14ac:dyDescent="0.25">
      <c r="C78" s="68"/>
      <c r="D78" s="69"/>
      <c r="E78" s="70"/>
      <c r="F78" s="71"/>
      <c r="G78" s="72"/>
      <c r="H78" s="72"/>
      <c r="I78" s="73"/>
      <c r="J78" s="72"/>
      <c r="K78" s="74"/>
      <c r="L78" s="73"/>
      <c r="M78" s="73"/>
      <c r="N78" s="73"/>
      <c r="O78" s="73"/>
      <c r="P78" s="73"/>
      <c r="Q78" s="75"/>
      <c r="R78" s="71"/>
      <c r="S78" s="73"/>
      <c r="T78" s="73"/>
      <c r="U78" s="72"/>
      <c r="V78" s="72"/>
      <c r="W78" s="74"/>
      <c r="X78" s="73"/>
      <c r="Y78" s="132"/>
      <c r="Z78" s="73"/>
      <c r="AA78" s="73"/>
      <c r="AB78" s="73"/>
      <c r="AC78" s="72"/>
      <c r="AD78" s="72"/>
      <c r="AE78" s="105" t="s">
        <v>199</v>
      </c>
      <c r="AF78" s="99">
        <v>100000</v>
      </c>
      <c r="AG78" s="133"/>
      <c r="AH78" s="136"/>
      <c r="AI78" s="73"/>
      <c r="AJ78" s="135"/>
    </row>
    <row r="79" spans="3:36" s="22" customFormat="1" ht="15" x14ac:dyDescent="0.25">
      <c r="C79" s="23">
        <v>57</v>
      </c>
      <c r="D79" s="38" t="s">
        <v>96</v>
      </c>
      <c r="E79" s="25">
        <v>3750</v>
      </c>
      <c r="F79" s="26">
        <v>3741</v>
      </c>
      <c r="G79" s="27">
        <f t="shared" ref="G79:G91" si="21">F79/E79*100</f>
        <v>99.76</v>
      </c>
      <c r="H79" s="27">
        <f t="shared" ref="H79:H91" si="22">(F79+T79)/E79*100</f>
        <v>99.76</v>
      </c>
      <c r="I79" s="28">
        <v>2693</v>
      </c>
      <c r="J79" s="29">
        <f t="shared" ref="J79:J91" si="23">I79/F79*100</f>
        <v>71.986099973269177</v>
      </c>
      <c r="K79" s="30">
        <v>12.3</v>
      </c>
      <c r="L79" s="28">
        <v>1209</v>
      </c>
      <c r="M79" s="28">
        <v>918</v>
      </c>
      <c r="N79" s="28">
        <v>550</v>
      </c>
      <c r="O79" s="28">
        <v>218007</v>
      </c>
      <c r="P79" s="28">
        <v>168548</v>
      </c>
      <c r="Q79" s="99">
        <v>13758</v>
      </c>
      <c r="R79" s="26">
        <v>0</v>
      </c>
      <c r="S79" s="100">
        <f>R79*$AL$3</f>
        <v>0</v>
      </c>
      <c r="T79" s="28">
        <v>0</v>
      </c>
      <c r="U79" s="29" t="e">
        <f>S79/T79</f>
        <v>#DIV/0!</v>
      </c>
      <c r="V79" s="29">
        <v>4126.79</v>
      </c>
      <c r="W79" s="30">
        <v>0</v>
      </c>
      <c r="X79" s="28">
        <v>0</v>
      </c>
      <c r="Y79" s="101">
        <f t="shared" ref="Y79:Y91" si="24">X79/F79</f>
        <v>0</v>
      </c>
      <c r="Z79" s="28">
        <v>5020</v>
      </c>
      <c r="AA79" s="28">
        <f t="shared" ref="AA79:AA91" si="25">Z79*$AL$3</f>
        <v>677700</v>
      </c>
      <c r="AB79" s="28">
        <v>377</v>
      </c>
      <c r="AC79" s="29">
        <f t="shared" ref="AC79:AC91" si="26">AA79/AB79</f>
        <v>1797.6127320954906</v>
      </c>
      <c r="AD79" s="29">
        <f t="shared" ref="AD79:AD91" si="27">V79</f>
        <v>4126.79</v>
      </c>
      <c r="AE79" s="30" t="s">
        <v>200</v>
      </c>
      <c r="AF79" s="99">
        <f>918*AL3</f>
        <v>123930</v>
      </c>
      <c r="AG79" s="102">
        <f t="shared" ref="AG79:AG91" si="28">AF79/I79</f>
        <v>46.019309320460451</v>
      </c>
      <c r="AH79" s="114">
        <v>0</v>
      </c>
      <c r="AI79" s="99">
        <v>0</v>
      </c>
      <c r="AJ79" s="104">
        <f t="shared" ref="AJ79:AJ90" si="29">S79+X79+AA79+AF79+AI79</f>
        <v>801630</v>
      </c>
    </row>
    <row r="80" spans="3:36" s="22" customFormat="1" ht="15" x14ac:dyDescent="0.25">
      <c r="C80" s="23">
        <v>58</v>
      </c>
      <c r="D80" s="38" t="s">
        <v>97</v>
      </c>
      <c r="E80" s="25">
        <v>3248</v>
      </c>
      <c r="F80" s="26">
        <v>1706</v>
      </c>
      <c r="G80" s="27">
        <f t="shared" si="21"/>
        <v>52.524630541871922</v>
      </c>
      <c r="H80" s="27">
        <f t="shared" si="22"/>
        <v>100</v>
      </c>
      <c r="I80" s="28">
        <v>1589</v>
      </c>
      <c r="J80" s="29">
        <f t="shared" si="23"/>
        <v>93.141852286049243</v>
      </c>
      <c r="K80" s="30">
        <v>46</v>
      </c>
      <c r="L80" s="28">
        <f>100*20</f>
        <v>2000</v>
      </c>
      <c r="M80" s="28">
        <v>1987</v>
      </c>
      <c r="N80" s="28">
        <v>0</v>
      </c>
      <c r="O80" s="28">
        <v>101900</v>
      </c>
      <c r="P80" s="28">
        <v>86233</v>
      </c>
      <c r="Q80" s="99">
        <v>52998</v>
      </c>
      <c r="R80" s="26">
        <v>17800</v>
      </c>
      <c r="S80" s="100">
        <f t="shared" ref="S80:S90" si="30">R80*135</f>
        <v>2403000</v>
      </c>
      <c r="T80" s="28">
        <v>1542</v>
      </c>
      <c r="U80" s="29">
        <f>S80/T80</f>
        <v>1558.3657587548639</v>
      </c>
      <c r="V80" s="29">
        <v>4126.79</v>
      </c>
      <c r="W80" s="30" t="s">
        <v>201</v>
      </c>
      <c r="X80" s="28">
        <v>162500</v>
      </c>
      <c r="Y80" s="101">
        <f t="shared" si="24"/>
        <v>95.252051582649472</v>
      </c>
      <c r="Z80" s="28">
        <v>0</v>
      </c>
      <c r="AA80" s="28">
        <f t="shared" si="25"/>
        <v>0</v>
      </c>
      <c r="AB80" s="28">
        <v>0</v>
      </c>
      <c r="AC80" s="29" t="e">
        <f t="shared" si="26"/>
        <v>#DIV/0!</v>
      </c>
      <c r="AD80" s="29">
        <f t="shared" si="27"/>
        <v>4126.79</v>
      </c>
      <c r="AE80" s="30" t="s">
        <v>202</v>
      </c>
      <c r="AF80" s="99">
        <f>8300*AL3</f>
        <v>1120500</v>
      </c>
      <c r="AG80" s="102">
        <f t="shared" si="28"/>
        <v>705.16047828823162</v>
      </c>
      <c r="AH80" s="114">
        <v>0</v>
      </c>
      <c r="AI80" s="99">
        <v>0</v>
      </c>
      <c r="AJ80" s="104">
        <f t="shared" si="29"/>
        <v>3686000</v>
      </c>
    </row>
    <row r="81" spans="3:36" s="22" customFormat="1" ht="15" x14ac:dyDescent="0.25">
      <c r="C81" s="23">
        <v>59</v>
      </c>
      <c r="D81" s="38" t="s">
        <v>98</v>
      </c>
      <c r="E81" s="25">
        <v>7361</v>
      </c>
      <c r="F81" s="26">
        <v>7334</v>
      </c>
      <c r="G81" s="27">
        <f t="shared" si="21"/>
        <v>99.633202010596392</v>
      </c>
      <c r="H81" s="27">
        <f t="shared" si="22"/>
        <v>100</v>
      </c>
      <c r="I81" s="28">
        <v>6998</v>
      </c>
      <c r="J81" s="29">
        <f t="shared" si="23"/>
        <v>95.418598309244615</v>
      </c>
      <c r="K81" s="30">
        <v>0</v>
      </c>
      <c r="L81" s="28">
        <v>1643</v>
      </c>
      <c r="M81" s="28">
        <v>1500</v>
      </c>
      <c r="N81" s="28">
        <v>1650</v>
      </c>
      <c r="O81" s="28">
        <v>226290</v>
      </c>
      <c r="P81" s="28">
        <v>226290</v>
      </c>
      <c r="Q81" s="99">
        <v>125039</v>
      </c>
      <c r="R81" s="26">
        <v>300</v>
      </c>
      <c r="S81" s="100">
        <f t="shared" si="30"/>
        <v>40500</v>
      </c>
      <c r="T81" s="28">
        <v>27</v>
      </c>
      <c r="U81" s="29">
        <f>S81/T81</f>
        <v>1500</v>
      </c>
      <c r="V81" s="29">
        <v>3290.61</v>
      </c>
      <c r="W81" s="30">
        <v>0</v>
      </c>
      <c r="X81" s="28">
        <v>0</v>
      </c>
      <c r="Y81" s="101">
        <f t="shared" si="24"/>
        <v>0</v>
      </c>
      <c r="Z81" s="28">
        <v>0</v>
      </c>
      <c r="AA81" s="28">
        <f t="shared" si="25"/>
        <v>0</v>
      </c>
      <c r="AB81" s="28">
        <v>0</v>
      </c>
      <c r="AC81" s="29" t="e">
        <f t="shared" si="26"/>
        <v>#DIV/0!</v>
      </c>
      <c r="AD81" s="29">
        <f t="shared" si="27"/>
        <v>3290.61</v>
      </c>
      <c r="AE81" s="30" t="s">
        <v>203</v>
      </c>
      <c r="AF81" s="99">
        <f>3772*AL3</f>
        <v>509220</v>
      </c>
      <c r="AG81" s="102">
        <f t="shared" si="28"/>
        <v>72.766504715633033</v>
      </c>
      <c r="AH81" s="114">
        <v>0</v>
      </c>
      <c r="AI81" s="99">
        <v>0</v>
      </c>
      <c r="AJ81" s="104">
        <f t="shared" si="29"/>
        <v>549720</v>
      </c>
    </row>
    <row r="82" spans="3:36" s="22" customFormat="1" ht="36" x14ac:dyDescent="0.25">
      <c r="C82" s="23">
        <v>60</v>
      </c>
      <c r="D82" s="38" t="s">
        <v>99</v>
      </c>
      <c r="E82" s="25">
        <v>2105</v>
      </c>
      <c r="F82" s="26">
        <v>1970</v>
      </c>
      <c r="G82" s="27">
        <f t="shared" si="21"/>
        <v>93.586698337292162</v>
      </c>
      <c r="H82" s="27">
        <f t="shared" si="22"/>
        <v>93.586698337292162</v>
      </c>
      <c r="I82" s="28">
        <v>1867</v>
      </c>
      <c r="J82" s="29">
        <f t="shared" si="23"/>
        <v>94.771573604060904</v>
      </c>
      <c r="K82" s="30">
        <v>18</v>
      </c>
      <c r="L82" s="28">
        <f>49*20</f>
        <v>980</v>
      </c>
      <c r="M82" s="28">
        <v>840</v>
      </c>
      <c r="N82" s="28">
        <v>0</v>
      </c>
      <c r="O82" s="28">
        <v>79271</v>
      </c>
      <c r="P82" s="28">
        <v>74614</v>
      </c>
      <c r="Q82" s="99">
        <v>74450</v>
      </c>
      <c r="R82" s="26">
        <v>0</v>
      </c>
      <c r="S82" s="100">
        <f t="shared" si="30"/>
        <v>0</v>
      </c>
      <c r="T82" s="28">
        <v>0</v>
      </c>
      <c r="U82" s="29" t="e">
        <f>S82/T82</f>
        <v>#DIV/0!</v>
      </c>
      <c r="V82" s="29">
        <v>4132.54</v>
      </c>
      <c r="W82" s="30">
        <v>0</v>
      </c>
      <c r="X82" s="28">
        <v>0</v>
      </c>
      <c r="Y82" s="101">
        <f t="shared" si="24"/>
        <v>0</v>
      </c>
      <c r="Z82" s="28">
        <v>0</v>
      </c>
      <c r="AA82" s="28">
        <f t="shared" si="25"/>
        <v>0</v>
      </c>
      <c r="AB82" s="28">
        <v>0</v>
      </c>
      <c r="AC82" s="29" t="e">
        <f t="shared" si="26"/>
        <v>#DIV/0!</v>
      </c>
      <c r="AD82" s="29">
        <f t="shared" si="27"/>
        <v>4132.54</v>
      </c>
      <c r="AE82" s="30" t="s">
        <v>204</v>
      </c>
      <c r="AF82" s="99">
        <f>6000*AL3</f>
        <v>810000</v>
      </c>
      <c r="AG82" s="102">
        <f t="shared" si="28"/>
        <v>433.85109801821102</v>
      </c>
      <c r="AH82" s="103" t="s">
        <v>147</v>
      </c>
      <c r="AI82" s="99">
        <v>30000</v>
      </c>
      <c r="AJ82" s="104">
        <f t="shared" si="29"/>
        <v>840000</v>
      </c>
    </row>
    <row r="83" spans="3:36" s="22" customFormat="1" ht="15" customHeight="1" x14ac:dyDescent="0.25">
      <c r="C83" s="23">
        <v>61</v>
      </c>
      <c r="D83" s="38" t="s">
        <v>100</v>
      </c>
      <c r="E83" s="25">
        <v>2239</v>
      </c>
      <c r="F83" s="26" t="s">
        <v>25</v>
      </c>
      <c r="G83" s="27" t="e">
        <f t="shared" si="21"/>
        <v>#VALUE!</v>
      </c>
      <c r="H83" s="27" t="e">
        <f t="shared" si="22"/>
        <v>#VALUE!</v>
      </c>
      <c r="I83" s="28" t="s">
        <v>25</v>
      </c>
      <c r="J83" s="29" t="e">
        <f t="shared" si="23"/>
        <v>#VALUE!</v>
      </c>
      <c r="K83" s="30" t="s">
        <v>25</v>
      </c>
      <c r="L83" s="28" t="s">
        <v>25</v>
      </c>
      <c r="M83" s="28" t="s">
        <v>25</v>
      </c>
      <c r="N83" s="28" t="s">
        <v>25</v>
      </c>
      <c r="O83" s="28" t="s">
        <v>25</v>
      </c>
      <c r="P83" s="28" t="s">
        <v>25</v>
      </c>
      <c r="Q83" s="99" t="s">
        <v>25</v>
      </c>
      <c r="R83" s="26">
        <v>0</v>
      </c>
      <c r="S83" s="100">
        <f t="shared" si="30"/>
        <v>0</v>
      </c>
      <c r="T83" s="28">
        <v>0</v>
      </c>
      <c r="U83" s="29" t="e">
        <f>S83/T83</f>
        <v>#DIV/0!</v>
      </c>
      <c r="V83" s="29">
        <v>3449.01</v>
      </c>
      <c r="W83" s="30">
        <v>0</v>
      </c>
      <c r="X83" s="28">
        <v>0</v>
      </c>
      <c r="Y83" s="101" t="e">
        <f t="shared" si="24"/>
        <v>#VALUE!</v>
      </c>
      <c r="Z83" s="28">
        <v>0</v>
      </c>
      <c r="AA83" s="28">
        <f t="shared" si="25"/>
        <v>0</v>
      </c>
      <c r="AB83" s="28">
        <v>0</v>
      </c>
      <c r="AC83" s="29" t="e">
        <f t="shared" si="26"/>
        <v>#DIV/0!</v>
      </c>
      <c r="AD83" s="29">
        <f t="shared" si="27"/>
        <v>3449.01</v>
      </c>
      <c r="AE83" s="30">
        <v>0</v>
      </c>
      <c r="AF83" s="99">
        <v>0</v>
      </c>
      <c r="AG83" s="102" t="e">
        <f t="shared" si="28"/>
        <v>#VALUE!</v>
      </c>
      <c r="AH83" s="114">
        <v>0</v>
      </c>
      <c r="AI83" s="99">
        <v>0</v>
      </c>
      <c r="AJ83" s="104">
        <f t="shared" si="29"/>
        <v>0</v>
      </c>
    </row>
    <row r="84" spans="3:36" s="22" customFormat="1" ht="15" x14ac:dyDescent="0.25">
      <c r="C84" s="23">
        <v>62</v>
      </c>
      <c r="D84" s="38" t="s">
        <v>101</v>
      </c>
      <c r="E84" s="25">
        <v>2413</v>
      </c>
      <c r="F84" s="26">
        <v>2378</v>
      </c>
      <c r="G84" s="27">
        <f t="shared" si="21"/>
        <v>98.549523414836301</v>
      </c>
      <c r="H84" s="27">
        <f t="shared" si="22"/>
        <v>98.549523414836301</v>
      </c>
      <c r="I84" s="28">
        <v>1838</v>
      </c>
      <c r="J84" s="29">
        <f t="shared" si="23"/>
        <v>77.291841883936087</v>
      </c>
      <c r="K84" s="30">
        <v>27</v>
      </c>
      <c r="L84" s="28">
        <v>1200</v>
      </c>
      <c r="M84" s="28">
        <v>1200</v>
      </c>
      <c r="N84" s="28">
        <v>500</v>
      </c>
      <c r="O84" s="28">
        <v>140880</v>
      </c>
      <c r="P84" s="28">
        <v>140880</v>
      </c>
      <c r="Q84" s="99">
        <v>50980</v>
      </c>
      <c r="R84" s="26">
        <v>780</v>
      </c>
      <c r="S84" s="100">
        <f t="shared" si="30"/>
        <v>105300</v>
      </c>
      <c r="T84" s="28">
        <v>0</v>
      </c>
      <c r="U84" s="29">
        <f>S84/F84</f>
        <v>44.280908326324642</v>
      </c>
      <c r="V84" s="29">
        <v>4132.54</v>
      </c>
      <c r="W84" s="30">
        <v>0</v>
      </c>
      <c r="X84" s="28">
        <v>0</v>
      </c>
      <c r="Y84" s="101">
        <f t="shared" si="24"/>
        <v>0</v>
      </c>
      <c r="Z84" s="28">
        <v>0</v>
      </c>
      <c r="AA84" s="28">
        <f t="shared" si="25"/>
        <v>0</v>
      </c>
      <c r="AB84" s="28">
        <v>0</v>
      </c>
      <c r="AC84" s="29" t="e">
        <f t="shared" si="26"/>
        <v>#DIV/0!</v>
      </c>
      <c r="AD84" s="29">
        <f t="shared" si="27"/>
        <v>4132.54</v>
      </c>
      <c r="AE84" s="30" t="s">
        <v>205</v>
      </c>
      <c r="AF84" s="99">
        <f>1850*AL3</f>
        <v>249750</v>
      </c>
      <c r="AG84" s="102">
        <f t="shared" si="28"/>
        <v>135.88139281828074</v>
      </c>
      <c r="AH84" s="114">
        <v>0</v>
      </c>
      <c r="AI84" s="99">
        <v>0</v>
      </c>
      <c r="AJ84" s="104">
        <f t="shared" si="29"/>
        <v>355050</v>
      </c>
    </row>
    <row r="85" spans="3:36" s="22" customFormat="1" ht="15" x14ac:dyDescent="0.25">
      <c r="C85" s="23">
        <v>63</v>
      </c>
      <c r="D85" s="38" t="s">
        <v>102</v>
      </c>
      <c r="E85" s="25">
        <v>2858</v>
      </c>
      <c r="F85" s="26">
        <v>1431</v>
      </c>
      <c r="G85" s="27">
        <f t="shared" si="21"/>
        <v>50.069979006298112</v>
      </c>
      <c r="H85" s="27">
        <f t="shared" si="22"/>
        <v>78.936319104268719</v>
      </c>
      <c r="I85" s="28">
        <v>1104</v>
      </c>
      <c r="J85" s="29">
        <f t="shared" si="23"/>
        <v>77.148846960167717</v>
      </c>
      <c r="K85" s="30">
        <v>7.4</v>
      </c>
      <c r="L85" s="28">
        <v>400</v>
      </c>
      <c r="M85" s="28">
        <v>400</v>
      </c>
      <c r="N85" s="28">
        <v>400</v>
      </c>
      <c r="O85" s="28">
        <v>55968</v>
      </c>
      <c r="P85" s="28">
        <v>55968</v>
      </c>
      <c r="Q85" s="99">
        <v>39951</v>
      </c>
      <c r="R85" s="26">
        <v>13573</v>
      </c>
      <c r="S85" s="100">
        <f t="shared" si="30"/>
        <v>1832355</v>
      </c>
      <c r="T85" s="28">
        <v>825</v>
      </c>
      <c r="U85" s="29">
        <f t="shared" ref="U85:U91" si="31">S85/T85</f>
        <v>2221.0363636363636</v>
      </c>
      <c r="V85" s="29">
        <v>3449.01</v>
      </c>
      <c r="W85" s="30">
        <v>0</v>
      </c>
      <c r="X85" s="28">
        <v>0</v>
      </c>
      <c r="Y85" s="101">
        <f t="shared" si="24"/>
        <v>0</v>
      </c>
      <c r="Z85" s="28">
        <v>0</v>
      </c>
      <c r="AA85" s="28">
        <f t="shared" si="25"/>
        <v>0</v>
      </c>
      <c r="AB85" s="28">
        <v>0</v>
      </c>
      <c r="AC85" s="29" t="e">
        <f t="shared" si="26"/>
        <v>#DIV/0!</v>
      </c>
      <c r="AD85" s="29">
        <f t="shared" si="27"/>
        <v>3449.01</v>
      </c>
      <c r="AE85" s="30" t="s">
        <v>206</v>
      </c>
      <c r="AF85" s="99">
        <f>2100*AL3</f>
        <v>283500</v>
      </c>
      <c r="AG85" s="102">
        <f t="shared" si="28"/>
        <v>256.79347826086956</v>
      </c>
      <c r="AH85" s="114" t="s">
        <v>207</v>
      </c>
      <c r="AI85" s="99">
        <v>52000</v>
      </c>
      <c r="AJ85" s="104">
        <f t="shared" si="29"/>
        <v>2167855</v>
      </c>
    </row>
    <row r="86" spans="3:36" s="22" customFormat="1" ht="24" x14ac:dyDescent="0.25">
      <c r="C86" s="23">
        <v>64</v>
      </c>
      <c r="D86" s="38" t="s">
        <v>103</v>
      </c>
      <c r="E86" s="25">
        <v>2498</v>
      </c>
      <c r="F86" s="26">
        <v>2448</v>
      </c>
      <c r="G86" s="27">
        <f t="shared" si="21"/>
        <v>97.998398718975182</v>
      </c>
      <c r="H86" s="27">
        <f t="shared" si="22"/>
        <v>97.998398718975182</v>
      </c>
      <c r="I86" s="28">
        <v>2175</v>
      </c>
      <c r="J86" s="29">
        <f t="shared" si="23"/>
        <v>88.848039215686271</v>
      </c>
      <c r="K86" s="30">
        <v>18</v>
      </c>
      <c r="L86" s="28">
        <v>2980</v>
      </c>
      <c r="M86" s="28">
        <v>1395</v>
      </c>
      <c r="N86" s="28">
        <v>400</v>
      </c>
      <c r="O86" s="28">
        <v>98493</v>
      </c>
      <c r="P86" s="28">
        <v>88377</v>
      </c>
      <c r="Q86" s="99">
        <v>49098</v>
      </c>
      <c r="R86" s="26">
        <v>0</v>
      </c>
      <c r="S86" s="100">
        <f t="shared" si="30"/>
        <v>0</v>
      </c>
      <c r="T86" s="28">
        <v>0</v>
      </c>
      <c r="U86" s="29" t="e">
        <f t="shared" si="31"/>
        <v>#DIV/0!</v>
      </c>
      <c r="V86" s="29">
        <v>4903.25</v>
      </c>
      <c r="W86" s="30">
        <v>0</v>
      </c>
      <c r="X86" s="28">
        <v>0</v>
      </c>
      <c r="Y86" s="101">
        <f t="shared" si="24"/>
        <v>0</v>
      </c>
      <c r="Z86" s="28">
        <v>0</v>
      </c>
      <c r="AA86" s="28">
        <f t="shared" si="25"/>
        <v>0</v>
      </c>
      <c r="AB86" s="28">
        <v>0</v>
      </c>
      <c r="AC86" s="29" t="e">
        <f t="shared" si="26"/>
        <v>#DIV/0!</v>
      </c>
      <c r="AD86" s="29">
        <f t="shared" si="27"/>
        <v>4903.25</v>
      </c>
      <c r="AE86" s="30">
        <v>0</v>
      </c>
      <c r="AF86" s="99">
        <v>0</v>
      </c>
      <c r="AG86" s="102">
        <f t="shared" si="28"/>
        <v>0</v>
      </c>
      <c r="AH86" s="103" t="s">
        <v>208</v>
      </c>
      <c r="AI86" s="99">
        <v>70000</v>
      </c>
      <c r="AJ86" s="104">
        <f t="shared" si="29"/>
        <v>70000</v>
      </c>
    </row>
    <row r="87" spans="3:36" s="22" customFormat="1" ht="16.350000000000001" customHeight="1" x14ac:dyDescent="0.25">
      <c r="C87" s="23">
        <v>65</v>
      </c>
      <c r="D87" s="38" t="s">
        <v>104</v>
      </c>
      <c r="E87" s="25">
        <v>4969</v>
      </c>
      <c r="F87" s="26">
        <v>2685</v>
      </c>
      <c r="G87" s="27">
        <f t="shared" si="21"/>
        <v>54.035017106057559</v>
      </c>
      <c r="H87" s="27">
        <f t="shared" si="22"/>
        <v>57.798349768565103</v>
      </c>
      <c r="I87" s="28">
        <v>2335</v>
      </c>
      <c r="J87" s="29">
        <f t="shared" si="23"/>
        <v>86.964618249534453</v>
      </c>
      <c r="K87" s="30">
        <v>28</v>
      </c>
      <c r="L87" s="28" t="s">
        <v>25</v>
      </c>
      <c r="M87" s="28" t="s">
        <v>25</v>
      </c>
      <c r="N87" s="28" t="s">
        <v>25</v>
      </c>
      <c r="O87" s="28">
        <v>142496</v>
      </c>
      <c r="P87" s="28">
        <v>141398</v>
      </c>
      <c r="Q87" s="99">
        <v>84445</v>
      </c>
      <c r="R87" s="26">
        <v>5682</v>
      </c>
      <c r="S87" s="100">
        <f t="shared" si="30"/>
        <v>767070</v>
      </c>
      <c r="T87" s="28">
        <v>187</v>
      </c>
      <c r="U87" s="29">
        <f t="shared" si="31"/>
        <v>4101.9786096256685</v>
      </c>
      <c r="V87" s="29">
        <v>4903.25</v>
      </c>
      <c r="W87" s="30">
        <v>0</v>
      </c>
      <c r="X87" s="28">
        <v>0</v>
      </c>
      <c r="Y87" s="101">
        <f t="shared" si="24"/>
        <v>0</v>
      </c>
      <c r="Z87" s="28">
        <v>8130</v>
      </c>
      <c r="AA87" s="28">
        <f t="shared" si="25"/>
        <v>1097550</v>
      </c>
      <c r="AB87" s="28">
        <v>933</v>
      </c>
      <c r="AC87" s="29">
        <f t="shared" si="26"/>
        <v>1176.3665594855306</v>
      </c>
      <c r="AD87" s="29">
        <f t="shared" si="27"/>
        <v>4903.25</v>
      </c>
      <c r="AE87" s="30" t="s">
        <v>209</v>
      </c>
      <c r="AF87" s="99">
        <f>5928*AL3</f>
        <v>800280</v>
      </c>
      <c r="AG87" s="102">
        <f t="shared" si="28"/>
        <v>342.73233404710919</v>
      </c>
      <c r="AH87" s="114">
        <v>0</v>
      </c>
      <c r="AI87" s="99">
        <v>0</v>
      </c>
      <c r="AJ87" s="104">
        <f t="shared" si="29"/>
        <v>2664900</v>
      </c>
    </row>
    <row r="88" spans="3:36" s="22" customFormat="1" ht="15" x14ac:dyDescent="0.25">
      <c r="C88" s="23">
        <v>66</v>
      </c>
      <c r="D88" s="38" t="s">
        <v>105</v>
      </c>
      <c r="E88" s="25">
        <v>2392</v>
      </c>
      <c r="F88" s="26">
        <v>1466</v>
      </c>
      <c r="G88" s="27">
        <f t="shared" si="21"/>
        <v>61.287625418060202</v>
      </c>
      <c r="H88" s="27">
        <f t="shared" si="22"/>
        <v>61.287625418060202</v>
      </c>
      <c r="I88" s="28">
        <v>1276</v>
      </c>
      <c r="J88" s="29">
        <f t="shared" si="23"/>
        <v>87.039563437926333</v>
      </c>
      <c r="K88" s="30">
        <v>11.78</v>
      </c>
      <c r="L88" s="28">
        <v>602</v>
      </c>
      <c r="M88" s="28">
        <v>602</v>
      </c>
      <c r="N88" s="28">
        <v>470</v>
      </c>
      <c r="O88" s="28">
        <v>38728</v>
      </c>
      <c r="P88" s="28">
        <v>38728</v>
      </c>
      <c r="Q88" s="99">
        <v>34114</v>
      </c>
      <c r="R88" s="26">
        <v>0</v>
      </c>
      <c r="S88" s="100">
        <f t="shared" si="30"/>
        <v>0</v>
      </c>
      <c r="T88" s="28">
        <v>0</v>
      </c>
      <c r="U88" s="29" t="e">
        <f t="shared" si="31"/>
        <v>#DIV/0!</v>
      </c>
      <c r="V88" s="29">
        <v>4126.79</v>
      </c>
      <c r="W88" s="30">
        <v>0</v>
      </c>
      <c r="X88" s="28">
        <v>0</v>
      </c>
      <c r="Y88" s="101">
        <f t="shared" si="24"/>
        <v>0</v>
      </c>
      <c r="Z88" s="28">
        <v>0</v>
      </c>
      <c r="AA88" s="28">
        <f t="shared" si="25"/>
        <v>0</v>
      </c>
      <c r="AB88" s="28">
        <v>0</v>
      </c>
      <c r="AC88" s="29" t="e">
        <f t="shared" si="26"/>
        <v>#DIV/0!</v>
      </c>
      <c r="AD88" s="29">
        <f t="shared" si="27"/>
        <v>4126.79</v>
      </c>
      <c r="AE88" s="30">
        <v>0</v>
      </c>
      <c r="AF88" s="99">
        <v>0</v>
      </c>
      <c r="AG88" s="102">
        <f t="shared" si="28"/>
        <v>0</v>
      </c>
      <c r="AH88" s="114">
        <v>0</v>
      </c>
      <c r="AI88" s="99">
        <v>0</v>
      </c>
      <c r="AJ88" s="104">
        <f t="shared" si="29"/>
        <v>0</v>
      </c>
    </row>
    <row r="89" spans="3:36" s="22" customFormat="1" ht="15" x14ac:dyDescent="0.25">
      <c r="C89" s="23">
        <v>67</v>
      </c>
      <c r="D89" s="38" t="s">
        <v>106</v>
      </c>
      <c r="E89" s="25">
        <v>2005</v>
      </c>
      <c r="F89" s="26">
        <v>1176</v>
      </c>
      <c r="G89" s="27">
        <f t="shared" si="21"/>
        <v>58.653366583541143</v>
      </c>
      <c r="H89" s="27">
        <f t="shared" si="22"/>
        <v>83.690773067331676</v>
      </c>
      <c r="I89" s="28">
        <v>1075</v>
      </c>
      <c r="J89" s="29">
        <f t="shared" si="23"/>
        <v>91.411564625850332</v>
      </c>
      <c r="K89" s="51">
        <v>25.73</v>
      </c>
      <c r="L89" s="28">
        <f>7*3.6*20</f>
        <v>504</v>
      </c>
      <c r="M89" s="28">
        <v>500</v>
      </c>
      <c r="N89" s="28">
        <v>360</v>
      </c>
      <c r="O89" s="28">
        <v>42788</v>
      </c>
      <c r="P89" s="28">
        <v>41588</v>
      </c>
      <c r="Q89" s="99">
        <v>22581</v>
      </c>
      <c r="R89" s="26">
        <v>9770</v>
      </c>
      <c r="S89" s="100">
        <f t="shared" si="30"/>
        <v>1318950</v>
      </c>
      <c r="T89" s="28">
        <v>502</v>
      </c>
      <c r="U89" s="29">
        <f t="shared" si="31"/>
        <v>2627.3904382470118</v>
      </c>
      <c r="V89" s="29">
        <v>4132.54</v>
      </c>
      <c r="W89" s="30">
        <v>0</v>
      </c>
      <c r="X89" s="28">
        <v>0</v>
      </c>
      <c r="Y89" s="101">
        <f t="shared" si="24"/>
        <v>0</v>
      </c>
      <c r="Z89" s="28">
        <v>0</v>
      </c>
      <c r="AA89" s="28">
        <f t="shared" si="25"/>
        <v>0</v>
      </c>
      <c r="AB89" s="28">
        <v>0</v>
      </c>
      <c r="AC89" s="29" t="e">
        <f t="shared" si="26"/>
        <v>#DIV/0!</v>
      </c>
      <c r="AD89" s="29">
        <f t="shared" si="27"/>
        <v>4132.54</v>
      </c>
      <c r="AE89" s="30">
        <v>0</v>
      </c>
      <c r="AF89" s="99">
        <v>0</v>
      </c>
      <c r="AG89" s="102">
        <f t="shared" si="28"/>
        <v>0</v>
      </c>
      <c r="AH89" s="114">
        <v>0</v>
      </c>
      <c r="AI89" s="99">
        <v>0</v>
      </c>
      <c r="AJ89" s="104">
        <f t="shared" si="29"/>
        <v>1318950</v>
      </c>
    </row>
    <row r="90" spans="3:36" s="22" customFormat="1" ht="15" x14ac:dyDescent="0.25">
      <c r="C90" s="23">
        <v>68</v>
      </c>
      <c r="D90" s="38" t="s">
        <v>107</v>
      </c>
      <c r="E90" s="25">
        <v>6086</v>
      </c>
      <c r="F90" s="26">
        <v>5758</v>
      </c>
      <c r="G90" s="27">
        <f t="shared" si="21"/>
        <v>94.610581662832729</v>
      </c>
      <c r="H90" s="27">
        <f t="shared" si="22"/>
        <v>98.652645415708179</v>
      </c>
      <c r="I90" s="28">
        <v>4756</v>
      </c>
      <c r="J90" s="29">
        <f t="shared" si="23"/>
        <v>82.598124348732199</v>
      </c>
      <c r="K90" s="30">
        <v>15</v>
      </c>
      <c r="L90" s="28">
        <v>1430</v>
      </c>
      <c r="M90" s="28">
        <v>1430</v>
      </c>
      <c r="N90" s="28">
        <v>630</v>
      </c>
      <c r="O90" s="28">
        <v>190000</v>
      </c>
      <c r="P90" s="28">
        <v>190000</v>
      </c>
      <c r="Q90" s="99">
        <v>118872</v>
      </c>
      <c r="R90" s="26">
        <v>2729</v>
      </c>
      <c r="S90" s="100">
        <f t="shared" si="30"/>
        <v>368415</v>
      </c>
      <c r="T90" s="28">
        <v>246</v>
      </c>
      <c r="U90" s="29">
        <f t="shared" si="31"/>
        <v>1497.6219512195121</v>
      </c>
      <c r="V90" s="29">
        <v>3449.01</v>
      </c>
      <c r="W90" s="30">
        <v>0</v>
      </c>
      <c r="X90" s="28">
        <v>0</v>
      </c>
      <c r="Y90" s="101">
        <f t="shared" si="24"/>
        <v>0</v>
      </c>
      <c r="Z90" s="28">
        <v>7222</v>
      </c>
      <c r="AA90" s="28">
        <f t="shared" si="25"/>
        <v>974970</v>
      </c>
      <c r="AB90" s="28">
        <v>331</v>
      </c>
      <c r="AC90" s="29">
        <f t="shared" si="26"/>
        <v>2945.5287009063445</v>
      </c>
      <c r="AD90" s="29">
        <f t="shared" si="27"/>
        <v>3449.01</v>
      </c>
      <c r="AE90" s="30">
        <v>0</v>
      </c>
      <c r="AF90" s="99">
        <v>0</v>
      </c>
      <c r="AG90" s="102">
        <f t="shared" si="28"/>
        <v>0</v>
      </c>
      <c r="AH90" s="114">
        <v>0</v>
      </c>
      <c r="AI90" s="99">
        <v>0</v>
      </c>
      <c r="AJ90" s="104">
        <f t="shared" si="29"/>
        <v>1343385</v>
      </c>
    </row>
    <row r="91" spans="3:36" s="22" customFormat="1" ht="24" x14ac:dyDescent="0.25">
      <c r="C91" s="68">
        <v>69</v>
      </c>
      <c r="D91" s="69" t="s">
        <v>108</v>
      </c>
      <c r="E91" s="70">
        <v>3051</v>
      </c>
      <c r="F91" s="71">
        <v>3019</v>
      </c>
      <c r="G91" s="72">
        <f t="shared" si="21"/>
        <v>98.951163552933465</v>
      </c>
      <c r="H91" s="72">
        <f t="shared" si="22"/>
        <v>100</v>
      </c>
      <c r="I91" s="73">
        <v>2604</v>
      </c>
      <c r="J91" s="72">
        <f t="shared" si="23"/>
        <v>86.253726399470025</v>
      </c>
      <c r="K91" s="74">
        <v>0</v>
      </c>
      <c r="L91" s="73">
        <v>2350</v>
      </c>
      <c r="M91" s="73">
        <v>2410</v>
      </c>
      <c r="N91" s="73">
        <v>560</v>
      </c>
      <c r="O91" s="73">
        <v>142824</v>
      </c>
      <c r="P91" s="73">
        <v>142025</v>
      </c>
      <c r="Q91" s="75">
        <v>121306</v>
      </c>
      <c r="R91" s="71">
        <v>329</v>
      </c>
      <c r="S91" s="73">
        <f>R91*$AL$3</f>
        <v>44415</v>
      </c>
      <c r="T91" s="73">
        <v>32</v>
      </c>
      <c r="U91" s="72">
        <f t="shared" si="31"/>
        <v>1387.96875</v>
      </c>
      <c r="V91" s="72">
        <v>4903.25</v>
      </c>
      <c r="W91" s="105" t="s">
        <v>183</v>
      </c>
      <c r="X91" s="28">
        <v>122000</v>
      </c>
      <c r="Y91" s="132">
        <f t="shared" si="24"/>
        <v>40.410732030473667</v>
      </c>
      <c r="Z91" s="73">
        <v>20630</v>
      </c>
      <c r="AA91" s="73">
        <f t="shared" si="25"/>
        <v>2785050</v>
      </c>
      <c r="AB91" s="73">
        <v>2225</v>
      </c>
      <c r="AC91" s="72">
        <f t="shared" si="26"/>
        <v>1251.7078651685392</v>
      </c>
      <c r="AD91" s="72">
        <f t="shared" si="27"/>
        <v>4903.25</v>
      </c>
      <c r="AE91" s="74">
        <v>0</v>
      </c>
      <c r="AF91" s="73">
        <v>0</v>
      </c>
      <c r="AG91" s="133">
        <f t="shared" si="28"/>
        <v>0</v>
      </c>
      <c r="AH91" s="74">
        <v>0</v>
      </c>
      <c r="AI91" s="73">
        <v>0</v>
      </c>
      <c r="AJ91" s="135">
        <f>S91+X91+AA91+AF91+AI91+X92</f>
        <v>3295265</v>
      </c>
    </row>
    <row r="92" spans="3:36" s="22" customFormat="1" ht="36" x14ac:dyDescent="0.25">
      <c r="C92" s="68"/>
      <c r="D92" s="69"/>
      <c r="E92" s="70"/>
      <c r="F92" s="71"/>
      <c r="G92" s="72"/>
      <c r="H92" s="72"/>
      <c r="I92" s="73"/>
      <c r="J92" s="72"/>
      <c r="K92" s="74"/>
      <c r="L92" s="73"/>
      <c r="M92" s="73"/>
      <c r="N92" s="73"/>
      <c r="O92" s="73"/>
      <c r="P92" s="73"/>
      <c r="Q92" s="75"/>
      <c r="R92" s="71"/>
      <c r="S92" s="73"/>
      <c r="T92" s="73"/>
      <c r="U92" s="72"/>
      <c r="V92" s="72"/>
      <c r="W92" s="105" t="s">
        <v>210</v>
      </c>
      <c r="X92" s="28">
        <v>343800</v>
      </c>
      <c r="Y92" s="132"/>
      <c r="Z92" s="73"/>
      <c r="AA92" s="73"/>
      <c r="AB92" s="73"/>
      <c r="AC92" s="72"/>
      <c r="AD92" s="72"/>
      <c r="AE92" s="74"/>
      <c r="AF92" s="73"/>
      <c r="AG92" s="133"/>
      <c r="AH92" s="74"/>
      <c r="AI92" s="73"/>
      <c r="AJ92" s="135"/>
    </row>
    <row r="93" spans="3:36" s="22" customFormat="1" ht="15" x14ac:dyDescent="0.25">
      <c r="C93" s="23">
        <v>70</v>
      </c>
      <c r="D93" s="38" t="s">
        <v>109</v>
      </c>
      <c r="E93" s="25">
        <v>5173</v>
      </c>
      <c r="F93" s="26">
        <v>4969</v>
      </c>
      <c r="G93" s="27">
        <f>F93/E93*100</f>
        <v>96.056446936013913</v>
      </c>
      <c r="H93" s="27">
        <f>(F93+T93)/E93*100</f>
        <v>100</v>
      </c>
      <c r="I93" s="28">
        <v>4541</v>
      </c>
      <c r="J93" s="29">
        <f>I93/F93*100</f>
        <v>91.386596900784866</v>
      </c>
      <c r="K93" s="30">
        <v>35.9</v>
      </c>
      <c r="L93" s="28">
        <v>1250</v>
      </c>
      <c r="M93" s="28">
        <v>2400</v>
      </c>
      <c r="N93" s="28">
        <v>664</v>
      </c>
      <c r="O93" s="28">
        <v>275735</v>
      </c>
      <c r="P93" s="28" t="s">
        <v>25</v>
      </c>
      <c r="Q93" s="99">
        <v>110525</v>
      </c>
      <c r="R93" s="26">
        <v>1430</v>
      </c>
      <c r="S93" s="100">
        <f>R93*$AL$3</f>
        <v>193050</v>
      </c>
      <c r="T93" s="28">
        <v>204</v>
      </c>
      <c r="U93" s="29">
        <f>S93/T93</f>
        <v>946.32352941176475</v>
      </c>
      <c r="V93" s="29">
        <v>3449.01</v>
      </c>
      <c r="W93" s="30">
        <v>0</v>
      </c>
      <c r="X93" s="28">
        <v>0</v>
      </c>
      <c r="Y93" s="101">
        <f>X93/F93</f>
        <v>0</v>
      </c>
      <c r="Z93" s="28">
        <v>0</v>
      </c>
      <c r="AA93" s="28">
        <f>Z93*$AL$3</f>
        <v>0</v>
      </c>
      <c r="AB93" s="28">
        <v>0</v>
      </c>
      <c r="AC93" s="29" t="e">
        <f>AA93/AB93</f>
        <v>#DIV/0!</v>
      </c>
      <c r="AD93" s="29">
        <f>V93</f>
        <v>3449.01</v>
      </c>
      <c r="AE93" s="30" t="s">
        <v>211</v>
      </c>
      <c r="AF93" s="99">
        <f>6530*AL3</f>
        <v>881550</v>
      </c>
      <c r="AG93" s="102">
        <f>AF93/I93</f>
        <v>194.13124862365117</v>
      </c>
      <c r="AH93" s="114">
        <v>0</v>
      </c>
      <c r="AI93" s="99">
        <v>0</v>
      </c>
      <c r="AJ93" s="104">
        <f>S93+X93+AA93+AF93+AI93</f>
        <v>1074600</v>
      </c>
    </row>
    <row r="94" spans="3:36" s="22" customFormat="1" ht="15" x14ac:dyDescent="0.25">
      <c r="C94" s="23">
        <v>71</v>
      </c>
      <c r="D94" s="38" t="s">
        <v>110</v>
      </c>
      <c r="E94" s="25">
        <v>3550</v>
      </c>
      <c r="F94" s="26">
        <v>3500</v>
      </c>
      <c r="G94" s="27">
        <f>F94/E94*100</f>
        <v>98.591549295774655</v>
      </c>
      <c r="H94" s="27">
        <f>(F94+T94)/E94*100</f>
        <v>98.591549295774655</v>
      </c>
      <c r="I94" s="28">
        <v>3450</v>
      </c>
      <c r="J94" s="29">
        <f>I94/F94*100</f>
        <v>98.571428571428584</v>
      </c>
      <c r="K94" s="30" t="s">
        <v>25</v>
      </c>
      <c r="L94" s="28">
        <v>750</v>
      </c>
      <c r="M94" s="28">
        <v>750</v>
      </c>
      <c r="N94" s="28">
        <v>200</v>
      </c>
      <c r="O94" s="28">
        <v>147000</v>
      </c>
      <c r="P94" s="28">
        <v>140437</v>
      </c>
      <c r="Q94" s="99">
        <v>100211</v>
      </c>
      <c r="R94" s="26">
        <v>0</v>
      </c>
      <c r="S94" s="100">
        <f>R94*$AL$3</f>
        <v>0</v>
      </c>
      <c r="T94" s="28">
        <v>0</v>
      </c>
      <c r="U94" s="29" t="e">
        <f>S94/T94</f>
        <v>#DIV/0!</v>
      </c>
      <c r="V94" s="29">
        <v>4903.25</v>
      </c>
      <c r="W94" s="30">
        <v>0</v>
      </c>
      <c r="X94" s="28">
        <v>0</v>
      </c>
      <c r="Y94" s="101">
        <f>X94/F94</f>
        <v>0</v>
      </c>
      <c r="Z94" s="28">
        <v>0</v>
      </c>
      <c r="AA94" s="28">
        <f>Z94*$AL$3</f>
        <v>0</v>
      </c>
      <c r="AB94" s="28">
        <v>0</v>
      </c>
      <c r="AC94" s="29" t="e">
        <f>AA94/AB94</f>
        <v>#DIV/0!</v>
      </c>
      <c r="AD94" s="29">
        <f>V94</f>
        <v>4903.25</v>
      </c>
      <c r="AE94" s="30">
        <v>0</v>
      </c>
      <c r="AF94" s="99">
        <v>0</v>
      </c>
      <c r="AG94" s="102">
        <f>AF94/I94</f>
        <v>0</v>
      </c>
      <c r="AH94" s="114">
        <v>0</v>
      </c>
      <c r="AI94" s="99">
        <v>0</v>
      </c>
      <c r="AJ94" s="104">
        <f>S94+X94+AA94+AF94+AI94</f>
        <v>0</v>
      </c>
    </row>
    <row r="95" spans="3:36" s="22" customFormat="1" ht="15" x14ac:dyDescent="0.25">
      <c r="C95" s="23">
        <v>72</v>
      </c>
      <c r="D95" s="38" t="s">
        <v>111</v>
      </c>
      <c r="E95" s="25">
        <v>1956</v>
      </c>
      <c r="F95" s="26">
        <v>1926</v>
      </c>
      <c r="G95" s="27">
        <f>F95/E95*100</f>
        <v>98.466257668711648</v>
      </c>
      <c r="H95" s="27">
        <f>(F95+T95)/E95*100</f>
        <v>99.744376278118608</v>
      </c>
      <c r="I95" s="28">
        <v>1709</v>
      </c>
      <c r="J95" s="29">
        <f>I95/F95*100</f>
        <v>88.733125649013502</v>
      </c>
      <c r="K95" s="30">
        <v>31</v>
      </c>
      <c r="L95" s="28">
        <v>500</v>
      </c>
      <c r="M95" s="28">
        <v>500</v>
      </c>
      <c r="N95" s="28">
        <v>500</v>
      </c>
      <c r="O95" s="28">
        <v>55763</v>
      </c>
      <c r="P95" s="28">
        <v>53764</v>
      </c>
      <c r="Q95" s="99">
        <v>29409</v>
      </c>
      <c r="R95" s="26">
        <v>900</v>
      </c>
      <c r="S95" s="100">
        <f>R95*$AL$3</f>
        <v>121500</v>
      </c>
      <c r="T95" s="28">
        <v>25</v>
      </c>
      <c r="U95" s="29">
        <f>S95/T95</f>
        <v>4860</v>
      </c>
      <c r="V95" s="29">
        <v>3449.01</v>
      </c>
      <c r="W95" s="30">
        <v>0</v>
      </c>
      <c r="X95" s="28">
        <v>0</v>
      </c>
      <c r="Y95" s="101">
        <f>X95/F95</f>
        <v>0</v>
      </c>
      <c r="Z95" s="28">
        <v>2320</v>
      </c>
      <c r="AA95" s="28">
        <f>Z95*$AL$3</f>
        <v>313200</v>
      </c>
      <c r="AB95" s="28">
        <v>36</v>
      </c>
      <c r="AC95" s="29">
        <f>AA95/AB95</f>
        <v>8700</v>
      </c>
      <c r="AD95" s="29">
        <f>V95</f>
        <v>3449.01</v>
      </c>
      <c r="AE95" s="30" t="s">
        <v>212</v>
      </c>
      <c r="AF95" s="99">
        <f>3030*AL3</f>
        <v>409050</v>
      </c>
      <c r="AG95" s="102">
        <f>AF95/I95</f>
        <v>239.35049736688123</v>
      </c>
      <c r="AH95" s="114" t="s">
        <v>213</v>
      </c>
      <c r="AI95" s="99">
        <v>30000</v>
      </c>
      <c r="AJ95" s="104">
        <f>S95+X95+AA95+AF95+AI95</f>
        <v>873750</v>
      </c>
    </row>
    <row r="96" spans="3:36" s="22" customFormat="1" ht="15" x14ac:dyDescent="0.25">
      <c r="C96" s="23">
        <v>73</v>
      </c>
      <c r="D96" s="38" t="s">
        <v>112</v>
      </c>
      <c r="E96" s="25">
        <v>2086</v>
      </c>
      <c r="F96" s="52" t="s">
        <v>25</v>
      </c>
      <c r="G96" s="53" t="e">
        <f>F96/E96*100</f>
        <v>#VALUE!</v>
      </c>
      <c r="H96" s="53" t="e">
        <f>(F96+T96)/E96*100</f>
        <v>#VALUE!</v>
      </c>
      <c r="I96" s="54" t="s">
        <v>25</v>
      </c>
      <c r="J96" s="29" t="e">
        <f>I96/F96*100</f>
        <v>#VALUE!</v>
      </c>
      <c r="K96" s="30">
        <v>12</v>
      </c>
      <c r="L96" s="28" t="s">
        <v>25</v>
      </c>
      <c r="M96" s="28" t="s">
        <v>25</v>
      </c>
      <c r="N96" s="28" t="s">
        <v>25</v>
      </c>
      <c r="O96" s="28" t="s">
        <v>25</v>
      </c>
      <c r="P96" s="28" t="s">
        <v>25</v>
      </c>
      <c r="Q96" s="99" t="s">
        <v>25</v>
      </c>
      <c r="R96" s="26">
        <v>0</v>
      </c>
      <c r="S96" s="100">
        <f>R96*$AL$3</f>
        <v>0</v>
      </c>
      <c r="T96" s="28">
        <v>0</v>
      </c>
      <c r="U96" s="29" t="e">
        <f>S96/T96</f>
        <v>#DIV/0!</v>
      </c>
      <c r="V96" s="29">
        <v>4126.79</v>
      </c>
      <c r="W96" s="30">
        <v>0</v>
      </c>
      <c r="X96" s="28">
        <v>0</v>
      </c>
      <c r="Y96" s="101" t="e">
        <f>X96/F96</f>
        <v>#VALUE!</v>
      </c>
      <c r="Z96" s="28">
        <v>0</v>
      </c>
      <c r="AA96" s="28">
        <f>Z96*$AL$3</f>
        <v>0</v>
      </c>
      <c r="AB96" s="28">
        <v>0</v>
      </c>
      <c r="AC96" s="29" t="e">
        <f>AA96/AB96</f>
        <v>#DIV/0!</v>
      </c>
      <c r="AD96" s="29">
        <f>V96</f>
        <v>4126.79</v>
      </c>
      <c r="AE96" s="30">
        <v>0</v>
      </c>
      <c r="AF96" s="99">
        <v>0</v>
      </c>
      <c r="AG96" s="102" t="e">
        <f>AF96/I96</f>
        <v>#VALUE!</v>
      </c>
      <c r="AH96" s="114">
        <v>0</v>
      </c>
      <c r="AI96" s="99">
        <v>0</v>
      </c>
      <c r="AJ96" s="104">
        <f>S96+X96+AA96+AF96+AI96</f>
        <v>0</v>
      </c>
    </row>
    <row r="97" spans="3:36" s="22" customFormat="1" ht="15.75" thickBot="1" x14ac:dyDescent="0.3">
      <c r="C97" s="55">
        <v>74</v>
      </c>
      <c r="D97" s="56" t="s">
        <v>113</v>
      </c>
      <c r="E97" s="123">
        <v>3299</v>
      </c>
      <c r="F97" s="58">
        <v>2381</v>
      </c>
      <c r="G97" s="59">
        <f>F97/E97*100</f>
        <v>72.173385874507417</v>
      </c>
      <c r="H97" s="59">
        <f>(F97+T97)/E97*100</f>
        <v>100</v>
      </c>
      <c r="I97" s="60">
        <v>1982</v>
      </c>
      <c r="J97" s="59">
        <f>I97/F97*100</f>
        <v>83.242335153296935</v>
      </c>
      <c r="K97" s="61">
        <v>24</v>
      </c>
      <c r="L97" s="60">
        <v>999</v>
      </c>
      <c r="M97" s="60">
        <v>560</v>
      </c>
      <c r="N97" s="60">
        <v>550</v>
      </c>
      <c r="O97" s="60">
        <v>60659</v>
      </c>
      <c r="P97" s="60">
        <v>57897</v>
      </c>
      <c r="Q97" s="124">
        <v>53622</v>
      </c>
      <c r="R97" s="58">
        <v>8915</v>
      </c>
      <c r="S97" s="125">
        <f>R97*$AL$3</f>
        <v>1203525</v>
      </c>
      <c r="T97" s="60">
        <v>918</v>
      </c>
      <c r="U97" s="126">
        <f>S97/T97</f>
        <v>1311.0294117647059</v>
      </c>
      <c r="V97" s="127">
        <v>3290.61</v>
      </c>
      <c r="W97" s="61">
        <v>0</v>
      </c>
      <c r="X97" s="60">
        <v>0</v>
      </c>
      <c r="Y97" s="128">
        <f>X97/F97</f>
        <v>0</v>
      </c>
      <c r="Z97" s="60">
        <v>0</v>
      </c>
      <c r="AA97" s="60">
        <f>Z97*$AL$3</f>
        <v>0</v>
      </c>
      <c r="AB97" s="60">
        <v>0</v>
      </c>
      <c r="AC97" s="127" t="e">
        <f>AA97/AB97</f>
        <v>#DIV/0!</v>
      </c>
      <c r="AD97" s="127">
        <f>V97</f>
        <v>3290.61</v>
      </c>
      <c r="AE97" s="61" t="s">
        <v>214</v>
      </c>
      <c r="AF97" s="124">
        <f>5350*AL3</f>
        <v>722250</v>
      </c>
      <c r="AG97" s="129">
        <f>AF97/I97</f>
        <v>364.40464177598386</v>
      </c>
      <c r="AH97" s="130">
        <v>0</v>
      </c>
      <c r="AI97" s="124">
        <v>0</v>
      </c>
      <c r="AJ97" s="131">
        <f>S97+X97+AA97+AF97+AI97</f>
        <v>1925775</v>
      </c>
    </row>
    <row r="98" spans="3:36" ht="15" x14ac:dyDescent="0.25">
      <c r="S98" s="76">
        <f>SUM(S7:S97)</f>
        <v>70490292</v>
      </c>
      <c r="T98" s="76">
        <f>SUM(T7:T97)</f>
        <v>34079</v>
      </c>
      <c r="U98" s="76" t="e">
        <f>SUM(U7:U97)</f>
        <v>#DIV/0!</v>
      </c>
      <c r="V98" s="76">
        <f>SUM(V7:V97)</f>
        <v>309585.20999999996</v>
      </c>
      <c r="W98" s="76"/>
      <c r="X98" s="76">
        <f>SUM(X7:X97)</f>
        <v>47035700</v>
      </c>
      <c r="Y98" s="76" t="e">
        <f>SUM(Y7:Y97)</f>
        <v>#VALUE!</v>
      </c>
      <c r="AA98" s="76">
        <f>SUM(AA7:AA97)</f>
        <v>62133016</v>
      </c>
      <c r="AB98" s="76">
        <f>SUM(AB7:AB97)</f>
        <v>20092</v>
      </c>
      <c r="AC98" s="76" t="e">
        <f>SUM(AC7:AC97)</f>
        <v>#DIV/0!</v>
      </c>
      <c r="AD98" s="76">
        <f>SUM(AD7:AD97)</f>
        <v>309585.20999999996</v>
      </c>
      <c r="AE98" s="76"/>
      <c r="AF98" s="76">
        <f>SUM(AF7:AF97)</f>
        <v>180020182</v>
      </c>
      <c r="AG98" s="76" t="e">
        <f>SUM(AG7:AG97)</f>
        <v>#VALUE!</v>
      </c>
      <c r="AH98" s="76"/>
      <c r="AI98" s="76">
        <f>SUM(AI7:AI97)</f>
        <v>2720800</v>
      </c>
      <c r="AJ98" s="76">
        <f>SUM(AJ7:AJ97)</f>
        <v>361961750</v>
      </c>
    </row>
  </sheetData>
  <mergeCells count="292">
    <mergeCell ref="AE91:AE92"/>
    <mergeCell ref="AF91:AF92"/>
    <mergeCell ref="AG91:AG92"/>
    <mergeCell ref="AH91:AH92"/>
    <mergeCell ref="AI91:AI92"/>
    <mergeCell ref="AJ91:AJ92"/>
    <mergeCell ref="Y91:Y92"/>
    <mergeCell ref="Z91:Z92"/>
    <mergeCell ref="AA91:AA92"/>
    <mergeCell ref="AB91:AB92"/>
    <mergeCell ref="AC91:AC92"/>
    <mergeCell ref="AD91:AD92"/>
    <mergeCell ref="Q91:Q92"/>
    <mergeCell ref="R91:R92"/>
    <mergeCell ref="S91:S92"/>
    <mergeCell ref="T91:T92"/>
    <mergeCell ref="U91:U92"/>
    <mergeCell ref="V91:V92"/>
    <mergeCell ref="K91:K92"/>
    <mergeCell ref="L91:L92"/>
    <mergeCell ref="M91:M92"/>
    <mergeCell ref="N91:N92"/>
    <mergeCell ref="O91:O92"/>
    <mergeCell ref="P91:P92"/>
    <mergeCell ref="AI76:AI78"/>
    <mergeCell ref="AJ76:AJ78"/>
    <mergeCell ref="C91:C92"/>
    <mergeCell ref="D91:D92"/>
    <mergeCell ref="E91:E92"/>
    <mergeCell ref="F91:F92"/>
    <mergeCell ref="G91:G92"/>
    <mergeCell ref="H91:H92"/>
    <mergeCell ref="I91:I92"/>
    <mergeCell ref="J91:J92"/>
    <mergeCell ref="AA76:AA78"/>
    <mergeCell ref="AB76:AB78"/>
    <mergeCell ref="AC76:AC78"/>
    <mergeCell ref="AD76:AD78"/>
    <mergeCell ref="AG76:AG78"/>
    <mergeCell ref="AH76:AH78"/>
    <mergeCell ref="U76:U78"/>
    <mergeCell ref="V76:V78"/>
    <mergeCell ref="W76:W78"/>
    <mergeCell ref="X76:X78"/>
    <mergeCell ref="Y76:Y78"/>
    <mergeCell ref="Z76:Z78"/>
    <mergeCell ref="O76:O78"/>
    <mergeCell ref="P76:P78"/>
    <mergeCell ref="Q76:Q78"/>
    <mergeCell ref="R76:R78"/>
    <mergeCell ref="S76:S78"/>
    <mergeCell ref="T76:T78"/>
    <mergeCell ref="I76:I78"/>
    <mergeCell ref="J76:J78"/>
    <mergeCell ref="K76:K78"/>
    <mergeCell ref="L76:L78"/>
    <mergeCell ref="M76:M78"/>
    <mergeCell ref="N76:N78"/>
    <mergeCell ref="C76:C78"/>
    <mergeCell ref="D76:D78"/>
    <mergeCell ref="E76:E78"/>
    <mergeCell ref="F76:F78"/>
    <mergeCell ref="G76:G78"/>
    <mergeCell ref="H76:H78"/>
    <mergeCell ref="AC33:AC34"/>
    <mergeCell ref="AD33:AD34"/>
    <mergeCell ref="AG33:AG34"/>
    <mergeCell ref="AH33:AH34"/>
    <mergeCell ref="AI33:AI34"/>
    <mergeCell ref="AJ33:AJ34"/>
    <mergeCell ref="W33:W34"/>
    <mergeCell ref="X33:X34"/>
    <mergeCell ref="Y33:Y34"/>
    <mergeCell ref="Z33:Z34"/>
    <mergeCell ref="AA33:AA34"/>
    <mergeCell ref="AB33:AB34"/>
    <mergeCell ref="Q33:Q34"/>
    <mergeCell ref="R33:R34"/>
    <mergeCell ref="S33:S34"/>
    <mergeCell ref="T33:T34"/>
    <mergeCell ref="U33:U34"/>
    <mergeCell ref="V33:V34"/>
    <mergeCell ref="K33:K34"/>
    <mergeCell ref="L33:L34"/>
    <mergeCell ref="M33:M34"/>
    <mergeCell ref="N33:N34"/>
    <mergeCell ref="O33:O34"/>
    <mergeCell ref="P33:P34"/>
    <mergeCell ref="AI29:AI30"/>
    <mergeCell ref="AJ29:AJ30"/>
    <mergeCell ref="C33:C34"/>
    <mergeCell ref="D33:D34"/>
    <mergeCell ref="E33:E34"/>
    <mergeCell ref="F33:F34"/>
    <mergeCell ref="G33:G34"/>
    <mergeCell ref="H33:H34"/>
    <mergeCell ref="I33:I34"/>
    <mergeCell ref="J33:J34"/>
    <mergeCell ref="AA29:AA30"/>
    <mergeCell ref="AB29:AB30"/>
    <mergeCell ref="AC29:AC30"/>
    <mergeCell ref="AD29:AD30"/>
    <mergeCell ref="AG29:AG30"/>
    <mergeCell ref="AH29:AH30"/>
    <mergeCell ref="U29:U30"/>
    <mergeCell ref="V29:V30"/>
    <mergeCell ref="W29:W30"/>
    <mergeCell ref="X29:X30"/>
    <mergeCell ref="Y29:Y30"/>
    <mergeCell ref="Z29:Z30"/>
    <mergeCell ref="O29:O30"/>
    <mergeCell ref="P29:P30"/>
    <mergeCell ref="Q29:Q30"/>
    <mergeCell ref="R29:R30"/>
    <mergeCell ref="S29:S30"/>
    <mergeCell ref="T29:T30"/>
    <mergeCell ref="I29:I30"/>
    <mergeCell ref="J29:J30"/>
    <mergeCell ref="K29:K30"/>
    <mergeCell ref="L29:L30"/>
    <mergeCell ref="M29:M30"/>
    <mergeCell ref="N29:N30"/>
    <mergeCell ref="AG25:AG26"/>
    <mergeCell ref="AH25:AH26"/>
    <mergeCell ref="AI25:AI26"/>
    <mergeCell ref="AJ25:AJ26"/>
    <mergeCell ref="C29:C30"/>
    <mergeCell ref="D29:D30"/>
    <mergeCell ref="E29:E30"/>
    <mergeCell ref="F29:F30"/>
    <mergeCell ref="G29:G30"/>
    <mergeCell ref="H29:H30"/>
    <mergeCell ref="Y25:Y26"/>
    <mergeCell ref="Z25:Z26"/>
    <mergeCell ref="AA25:AA26"/>
    <mergeCell ref="AB25:AB26"/>
    <mergeCell ref="AC25:AC26"/>
    <mergeCell ref="AD25:AD26"/>
    <mergeCell ref="Q25:Q26"/>
    <mergeCell ref="R25:R26"/>
    <mergeCell ref="S25:S26"/>
    <mergeCell ref="T25:T26"/>
    <mergeCell ref="U25:U26"/>
    <mergeCell ref="V25:V26"/>
    <mergeCell ref="K25:K26"/>
    <mergeCell ref="L25:L26"/>
    <mergeCell ref="M25:M26"/>
    <mergeCell ref="N25:N26"/>
    <mergeCell ref="O25:O26"/>
    <mergeCell ref="P25:P26"/>
    <mergeCell ref="AI23:AI24"/>
    <mergeCell ref="AJ23:AJ24"/>
    <mergeCell ref="C25:C26"/>
    <mergeCell ref="D25:D26"/>
    <mergeCell ref="E25:E26"/>
    <mergeCell ref="F25:F26"/>
    <mergeCell ref="G25:G26"/>
    <mergeCell ref="H25:H26"/>
    <mergeCell ref="I25:I26"/>
    <mergeCell ref="J25:J26"/>
    <mergeCell ref="AA23:AA24"/>
    <mergeCell ref="AB23:AB24"/>
    <mergeCell ref="AC23:AC24"/>
    <mergeCell ref="AD23:AD24"/>
    <mergeCell ref="AG23:AG24"/>
    <mergeCell ref="AH23:AH24"/>
    <mergeCell ref="U23:U24"/>
    <mergeCell ref="V23:V24"/>
    <mergeCell ref="W23:W24"/>
    <mergeCell ref="X23:X24"/>
    <mergeCell ref="Y23:Y24"/>
    <mergeCell ref="Z23:Z24"/>
    <mergeCell ref="O23:O24"/>
    <mergeCell ref="P23:P24"/>
    <mergeCell ref="Q23:Q24"/>
    <mergeCell ref="R23:R24"/>
    <mergeCell ref="S23:S24"/>
    <mergeCell ref="T23:T24"/>
    <mergeCell ref="I23:I24"/>
    <mergeCell ref="J23:J24"/>
    <mergeCell ref="K23:K24"/>
    <mergeCell ref="L23:L24"/>
    <mergeCell ref="M23:M24"/>
    <mergeCell ref="N23:N24"/>
    <mergeCell ref="C23:C24"/>
    <mergeCell ref="D23:D24"/>
    <mergeCell ref="E23:E24"/>
    <mergeCell ref="F23:F24"/>
    <mergeCell ref="G23:G24"/>
    <mergeCell ref="H23:H24"/>
    <mergeCell ref="AC20:AC22"/>
    <mergeCell ref="AD20:AD22"/>
    <mergeCell ref="AG20:AG22"/>
    <mergeCell ref="AH20:AH22"/>
    <mergeCell ref="AI20:AI22"/>
    <mergeCell ref="AJ20:AJ22"/>
    <mergeCell ref="W20:W22"/>
    <mergeCell ref="X20:X22"/>
    <mergeCell ref="Y20:Y22"/>
    <mergeCell ref="Z20:Z22"/>
    <mergeCell ref="AA20:AA22"/>
    <mergeCell ref="AB20:AB22"/>
    <mergeCell ref="Q20:Q22"/>
    <mergeCell ref="R20:R22"/>
    <mergeCell ref="S20:S22"/>
    <mergeCell ref="T20:T22"/>
    <mergeCell ref="U20:U22"/>
    <mergeCell ref="V20:V22"/>
    <mergeCell ref="K20:K22"/>
    <mergeCell ref="L20:L22"/>
    <mergeCell ref="M20:M22"/>
    <mergeCell ref="N20:N22"/>
    <mergeCell ref="O20:O22"/>
    <mergeCell ref="P20:P22"/>
    <mergeCell ref="AI16:AI17"/>
    <mergeCell ref="AJ16:AJ17"/>
    <mergeCell ref="C20:C22"/>
    <mergeCell ref="D20:D22"/>
    <mergeCell ref="E20:E22"/>
    <mergeCell ref="F20:F22"/>
    <mergeCell ref="G20:G22"/>
    <mergeCell ref="H20:H22"/>
    <mergeCell ref="I20:I22"/>
    <mergeCell ref="J20:J22"/>
    <mergeCell ref="AA16:AA17"/>
    <mergeCell ref="AB16:AB17"/>
    <mergeCell ref="AC16:AC17"/>
    <mergeCell ref="AD16:AD17"/>
    <mergeCell ref="AG16:AG17"/>
    <mergeCell ref="AH16:AH17"/>
    <mergeCell ref="U16:U17"/>
    <mergeCell ref="V16:V17"/>
    <mergeCell ref="W16:W17"/>
    <mergeCell ref="X16:X17"/>
    <mergeCell ref="Y16:Y17"/>
    <mergeCell ref="Z16:Z17"/>
    <mergeCell ref="O16:O17"/>
    <mergeCell ref="P16:P17"/>
    <mergeCell ref="Q16:Q17"/>
    <mergeCell ref="R16:R17"/>
    <mergeCell ref="S16:S17"/>
    <mergeCell ref="T16:T17"/>
    <mergeCell ref="I16:I17"/>
    <mergeCell ref="J16:J17"/>
    <mergeCell ref="K16:K17"/>
    <mergeCell ref="L16:L17"/>
    <mergeCell ref="M16:M17"/>
    <mergeCell ref="N16:N17"/>
    <mergeCell ref="C16:C17"/>
    <mergeCell ref="D16:D17"/>
    <mergeCell ref="E16:E17"/>
    <mergeCell ref="F16:F17"/>
    <mergeCell ref="G16:G17"/>
    <mergeCell ref="H16:H17"/>
    <mergeCell ref="AC8:AC13"/>
    <mergeCell ref="AD8:AD13"/>
    <mergeCell ref="AG8:AG13"/>
    <mergeCell ref="AH8:AH13"/>
    <mergeCell ref="AI8:AI13"/>
    <mergeCell ref="AJ8:AJ13"/>
    <mergeCell ref="U8:U13"/>
    <mergeCell ref="V8:V13"/>
    <mergeCell ref="Y8:Y13"/>
    <mergeCell ref="Z8:Z13"/>
    <mergeCell ref="AA8:AA13"/>
    <mergeCell ref="AB8:AB13"/>
    <mergeCell ref="W10:W13"/>
    <mergeCell ref="X10:X13"/>
    <mergeCell ref="O8:O13"/>
    <mergeCell ref="P8:P13"/>
    <mergeCell ref="Q8:Q13"/>
    <mergeCell ref="R8:R13"/>
    <mergeCell ref="S8:S13"/>
    <mergeCell ref="T8:T13"/>
    <mergeCell ref="I8:I13"/>
    <mergeCell ref="J8:J13"/>
    <mergeCell ref="K8:K13"/>
    <mergeCell ref="L8:L13"/>
    <mergeCell ref="M8:M13"/>
    <mergeCell ref="N8:N13"/>
    <mergeCell ref="C8:C13"/>
    <mergeCell ref="D8:D13"/>
    <mergeCell ref="E8:E13"/>
    <mergeCell ref="F8:F13"/>
    <mergeCell ref="G8:G13"/>
    <mergeCell ref="H8:H13"/>
    <mergeCell ref="C2:AJ2"/>
    <mergeCell ref="C4:C5"/>
    <mergeCell ref="D4:D5"/>
    <mergeCell ref="E4:E5"/>
    <mergeCell ref="F4:Q4"/>
    <mergeCell ref="R4:AJ4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1_P</vt:lpstr>
      <vt:lpstr>2_P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Linda Fibiga</cp:lastModifiedBy>
  <cp:lastPrinted>2020-10-05T08:22:07Z</cp:lastPrinted>
  <dcterms:created xsi:type="dcterms:W3CDTF">2020-03-18T11:08:32Z</dcterms:created>
  <dcterms:modified xsi:type="dcterms:W3CDTF">2020-11-25T09:16:21Z</dcterms:modified>
</cp:coreProperties>
</file>